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8810" windowHeight="11190" tabRatio="799" activeTab="0"/>
  </bookViews>
  <sheets>
    <sheet name="Приложение_5" sheetId="1" r:id="rId1"/>
    <sheet name="Приложение_6" sheetId="2" r:id="rId2"/>
    <sheet name="Приложение_7 " sheetId="3" r:id="rId3"/>
    <sheet name="Приложение_8" sheetId="4" r:id="rId4"/>
    <sheet name="Приложение_9" sheetId="5" r:id="rId5"/>
  </sheets>
  <definedNames>
    <definedName name="_xlnm.Print_Titles" localSheetId="1">'Приложение_6'!$9:$9</definedName>
    <definedName name="_xlnm.Print_Titles" localSheetId="2">'Приложение_7 '!$10:$11</definedName>
    <definedName name="_xlnm.Print_Titles" localSheetId="3">'Приложение_8'!$8:$9</definedName>
    <definedName name="_xlnm.Print_Area" localSheetId="1">'Приложение_6'!$A$1:$G$971</definedName>
    <definedName name="_xlnm.Print_Area" localSheetId="2">'Приложение_7 '!$A$1:$H$1126</definedName>
    <definedName name="_xlnm.Print_Area" localSheetId="3">'Приложение_8'!$A$1:$G$1071</definedName>
    <definedName name="_xlnm.Print_Area" localSheetId="4">'Приложение_9'!$A$1:$E$55</definedName>
  </definedNames>
  <calcPr fullCalcOnLoad="1"/>
</workbook>
</file>

<file path=xl/sharedStrings.xml><?xml version="1.0" encoding="utf-8"?>
<sst xmlns="http://schemas.openxmlformats.org/spreadsheetml/2006/main" count="17215" uniqueCount="1022">
  <si>
    <t>Сумма на 2017 год</t>
  </si>
  <si>
    <t>000</t>
  </si>
  <si>
    <t>01</t>
  </si>
  <si>
    <t>00</t>
  </si>
  <si>
    <t>0000000000</t>
  </si>
  <si>
    <t>02</t>
  </si>
  <si>
    <t>8200000000</t>
  </si>
  <si>
    <t>8280000000</t>
  </si>
  <si>
    <t>8281300000</t>
  </si>
  <si>
    <t>8281306030</t>
  </si>
  <si>
    <t>100</t>
  </si>
  <si>
    <t>9900000000</t>
  </si>
  <si>
    <t>9900001010</t>
  </si>
  <si>
    <t>9900013060</t>
  </si>
  <si>
    <t>03</t>
  </si>
  <si>
    <t>8281100000</t>
  </si>
  <si>
    <t>8281106030</t>
  </si>
  <si>
    <t>200</t>
  </si>
  <si>
    <t>8281200000</t>
  </si>
  <si>
    <t>8281206030</t>
  </si>
  <si>
    <t>9900003010</t>
  </si>
  <si>
    <t>9900006010</t>
  </si>
  <si>
    <t>04</t>
  </si>
  <si>
    <t>7000000000</t>
  </si>
  <si>
    <t>7030000000</t>
  </si>
  <si>
    <t>7031100000</t>
  </si>
  <si>
    <t>7031106010</t>
  </si>
  <si>
    <t>7031200000</t>
  </si>
  <si>
    <t>7031206010</t>
  </si>
  <si>
    <t>7031213060</t>
  </si>
  <si>
    <t>7034300000</t>
  </si>
  <si>
    <t>7034306010</t>
  </si>
  <si>
    <t>7034306030</t>
  </si>
  <si>
    <t>7034313060</t>
  </si>
  <si>
    <t>7034400000</t>
  </si>
  <si>
    <t>7034406010</t>
  </si>
  <si>
    <t>7034406030</t>
  </si>
  <si>
    <t>7034413060</t>
  </si>
  <si>
    <t>8100000000</t>
  </si>
  <si>
    <t>8110000000</t>
  </si>
  <si>
    <t>8111100000</t>
  </si>
  <si>
    <t>8111106010</t>
  </si>
  <si>
    <t>8111113060</t>
  </si>
  <si>
    <t>8210000000</t>
  </si>
  <si>
    <t>8211100000</t>
  </si>
  <si>
    <t>8211104010</t>
  </si>
  <si>
    <t>8211106010</t>
  </si>
  <si>
    <t>300</t>
  </si>
  <si>
    <t>8211106030</t>
  </si>
  <si>
    <t>8211108210</t>
  </si>
  <si>
    <t>8211113060</t>
  </si>
  <si>
    <t>8220000000</t>
  </si>
  <si>
    <t>8221100000</t>
  </si>
  <si>
    <t>8221106010</t>
  </si>
  <si>
    <t>8221106030</t>
  </si>
  <si>
    <t>8221113060</t>
  </si>
  <si>
    <t>8230000000</t>
  </si>
  <si>
    <t>8231100000</t>
  </si>
  <si>
    <t>8231106010</t>
  </si>
  <si>
    <t>8231113060</t>
  </si>
  <si>
    <t>06</t>
  </si>
  <si>
    <t>9900005010</t>
  </si>
  <si>
    <t>9900008210</t>
  </si>
  <si>
    <t>11</t>
  </si>
  <si>
    <t>9900020220</t>
  </si>
  <si>
    <t>800</t>
  </si>
  <si>
    <t>13</t>
  </si>
  <si>
    <t>7100000000</t>
  </si>
  <si>
    <t>7101700000</t>
  </si>
  <si>
    <t>7101760040</t>
  </si>
  <si>
    <t>600</t>
  </si>
  <si>
    <t>7500000000</t>
  </si>
  <si>
    <t>7510000000</t>
  </si>
  <si>
    <t>7511100000</t>
  </si>
  <si>
    <t>7511120110</t>
  </si>
  <si>
    <t>7511200000</t>
  </si>
  <si>
    <t>7511229990</t>
  </si>
  <si>
    <t>7540000000</t>
  </si>
  <si>
    <t>7541300000</t>
  </si>
  <si>
    <t>7541329990</t>
  </si>
  <si>
    <t>7800000000</t>
  </si>
  <si>
    <t>7801400000</t>
  </si>
  <si>
    <t>7801429990</t>
  </si>
  <si>
    <t>7900000000</t>
  </si>
  <si>
    <t>7902300000</t>
  </si>
  <si>
    <t>7902329990</t>
  </si>
  <si>
    <t>7902400000</t>
  </si>
  <si>
    <t>7902429990</t>
  </si>
  <si>
    <t>7903100000</t>
  </si>
  <si>
    <t>7903129990</t>
  </si>
  <si>
    <t>8000000000</t>
  </si>
  <si>
    <t>8020000000</t>
  </si>
  <si>
    <t>8022200000</t>
  </si>
  <si>
    <t>8022229990</t>
  </si>
  <si>
    <t>8022300000</t>
  </si>
  <si>
    <t>8022329990</t>
  </si>
  <si>
    <t>8022370570</t>
  </si>
  <si>
    <t>80223S0570</t>
  </si>
  <si>
    <t>8022500000</t>
  </si>
  <si>
    <t>8022529990</t>
  </si>
  <si>
    <t>8023100000</t>
  </si>
  <si>
    <t>8023129990</t>
  </si>
  <si>
    <t>8024100000</t>
  </si>
  <si>
    <t>8024129990</t>
  </si>
  <si>
    <t>8024200000</t>
  </si>
  <si>
    <t>8024229990</t>
  </si>
  <si>
    <t>8040000000</t>
  </si>
  <si>
    <t>8041100000</t>
  </si>
  <si>
    <t>8041100020</t>
  </si>
  <si>
    <t>8041113060</t>
  </si>
  <si>
    <t>8211300000</t>
  </si>
  <si>
    <t>8211375540</t>
  </si>
  <si>
    <t>8211375550</t>
  </si>
  <si>
    <t>8221300000</t>
  </si>
  <si>
    <t>8221320140</t>
  </si>
  <si>
    <t>8240000000</t>
  </si>
  <si>
    <t>8241100000</t>
  </si>
  <si>
    <t>8241100020</t>
  </si>
  <si>
    <t>8241113060</t>
  </si>
  <si>
    <t>8250000000</t>
  </si>
  <si>
    <t>8251100000</t>
  </si>
  <si>
    <t>8251100020</t>
  </si>
  <si>
    <t>8251113060</t>
  </si>
  <si>
    <t>8251200000</t>
  </si>
  <si>
    <t>8251200020</t>
  </si>
  <si>
    <t>8252100000</t>
  </si>
  <si>
    <t>8252100020</t>
  </si>
  <si>
    <t>8252200000</t>
  </si>
  <si>
    <t>8252229990</t>
  </si>
  <si>
    <t>8253100000</t>
  </si>
  <si>
    <t>8253100020</t>
  </si>
  <si>
    <t>8260000000</t>
  </si>
  <si>
    <t>8261100000</t>
  </si>
  <si>
    <t>8261100020</t>
  </si>
  <si>
    <t>8261113060</t>
  </si>
  <si>
    <t>8262100000</t>
  </si>
  <si>
    <t>8262100020</t>
  </si>
  <si>
    <t>8262113060</t>
  </si>
  <si>
    <t>8262200000</t>
  </si>
  <si>
    <t>8262200020</t>
  </si>
  <si>
    <t>8262229990</t>
  </si>
  <si>
    <t>9900020130</t>
  </si>
  <si>
    <t>9900099990</t>
  </si>
  <si>
    <t>400</t>
  </si>
  <si>
    <t>8211200000</t>
  </si>
  <si>
    <t>8211259300</t>
  </si>
  <si>
    <t>09</t>
  </si>
  <si>
    <t>7511600000</t>
  </si>
  <si>
    <t>7511629990</t>
  </si>
  <si>
    <t>7530000000</t>
  </si>
  <si>
    <t>7531100000</t>
  </si>
  <si>
    <t>7531129990</t>
  </si>
  <si>
    <t>7531400000</t>
  </si>
  <si>
    <t>7531400020</t>
  </si>
  <si>
    <t>7531413060</t>
  </si>
  <si>
    <t>7531600000</t>
  </si>
  <si>
    <t>7531629990</t>
  </si>
  <si>
    <t>7531700000</t>
  </si>
  <si>
    <t>7531729990</t>
  </si>
  <si>
    <t>05</t>
  </si>
  <si>
    <t>7400000000</t>
  </si>
  <si>
    <t>7440000000</t>
  </si>
  <si>
    <t>7442200000</t>
  </si>
  <si>
    <t>7442275590</t>
  </si>
  <si>
    <t>7442275600</t>
  </si>
  <si>
    <t>08</t>
  </si>
  <si>
    <t>7460000000</t>
  </si>
  <si>
    <t>7461100000</t>
  </si>
  <si>
    <t>7461160010</t>
  </si>
  <si>
    <t>7462100000</t>
  </si>
  <si>
    <t>7462176600</t>
  </si>
  <si>
    <t>7463100000</t>
  </si>
  <si>
    <t>7463129990</t>
  </si>
  <si>
    <t>7520000000</t>
  </si>
  <si>
    <t>7521300000</t>
  </si>
  <si>
    <t>7521329990</t>
  </si>
  <si>
    <t>7521400000</t>
  </si>
  <si>
    <t>7521429990</t>
  </si>
  <si>
    <t>7700000000</t>
  </si>
  <si>
    <t>7701100000</t>
  </si>
  <si>
    <t>7701120040</t>
  </si>
  <si>
    <t>7702100000</t>
  </si>
  <si>
    <t>7702120050</t>
  </si>
  <si>
    <t>7702120090</t>
  </si>
  <si>
    <t>7702129990</t>
  </si>
  <si>
    <t>7702200000</t>
  </si>
  <si>
    <t>7702229990</t>
  </si>
  <si>
    <t>10</t>
  </si>
  <si>
    <t>8010000000</t>
  </si>
  <si>
    <t>8011100000</t>
  </si>
  <si>
    <t>8011100020</t>
  </si>
  <si>
    <t>8011113060</t>
  </si>
  <si>
    <t>12</t>
  </si>
  <si>
    <t>8211600000</t>
  </si>
  <si>
    <t>8211675510</t>
  </si>
  <si>
    <t>8221200000</t>
  </si>
  <si>
    <t>8221220150</t>
  </si>
  <si>
    <t>8270000000</t>
  </si>
  <si>
    <t>8271100000</t>
  </si>
  <si>
    <t>8271100020</t>
  </si>
  <si>
    <t>8271200000</t>
  </si>
  <si>
    <t>8271200020</t>
  </si>
  <si>
    <t>8271213060</t>
  </si>
  <si>
    <t>8271300000</t>
  </si>
  <si>
    <t>8271300020</t>
  </si>
  <si>
    <t>7410000000</t>
  </si>
  <si>
    <t>7412300000</t>
  </si>
  <si>
    <t>7412320090</t>
  </si>
  <si>
    <t>7413100000</t>
  </si>
  <si>
    <t>7413200000</t>
  </si>
  <si>
    <t>7413220950</t>
  </si>
  <si>
    <t>7420000000</t>
  </si>
  <si>
    <t>7421200000</t>
  </si>
  <si>
    <t>7421220100</t>
  </si>
  <si>
    <t>7421400000</t>
  </si>
  <si>
    <t>7421420100</t>
  </si>
  <si>
    <t>7430000000</t>
  </si>
  <si>
    <t>7432100000</t>
  </si>
  <si>
    <t>7432160030</t>
  </si>
  <si>
    <t>7432200000</t>
  </si>
  <si>
    <t>7432229990</t>
  </si>
  <si>
    <t>7441100000</t>
  </si>
  <si>
    <t>7441120060</t>
  </si>
  <si>
    <t>7441200000</t>
  </si>
  <si>
    <t>7441220070</t>
  </si>
  <si>
    <t>7441300000</t>
  </si>
  <si>
    <t>7441320090</t>
  </si>
  <si>
    <t>7441400000</t>
  </si>
  <si>
    <t>7441429990</t>
  </si>
  <si>
    <t>7441440010</t>
  </si>
  <si>
    <t>7442100000</t>
  </si>
  <si>
    <t>7442129990</t>
  </si>
  <si>
    <t>7442300000</t>
  </si>
  <si>
    <t>7442329990</t>
  </si>
  <si>
    <t>7450000000</t>
  </si>
  <si>
    <t>7451100000</t>
  </si>
  <si>
    <t>7451100020</t>
  </si>
  <si>
    <t>7451129990</t>
  </si>
  <si>
    <t>9900000020</t>
  </si>
  <si>
    <t>07</t>
  </si>
  <si>
    <t>7010000000</t>
  </si>
  <si>
    <t>7011100000</t>
  </si>
  <si>
    <t>7011171100</t>
  </si>
  <si>
    <t>7011175380</t>
  </si>
  <si>
    <t>70111S1100</t>
  </si>
  <si>
    <t>7011200000</t>
  </si>
  <si>
    <t>7011200020</t>
  </si>
  <si>
    <t>7011400000</t>
  </si>
  <si>
    <t>7011413060</t>
  </si>
  <si>
    <t>7080000000</t>
  </si>
  <si>
    <t>7081100000</t>
  </si>
  <si>
    <t>7081174000</t>
  </si>
  <si>
    <t>7082100000</t>
  </si>
  <si>
    <t>7082129990</t>
  </si>
  <si>
    <t>7082400000</t>
  </si>
  <si>
    <t>7082429990</t>
  </si>
  <si>
    <t>7020000000</t>
  </si>
  <si>
    <t>7021100000</t>
  </si>
  <si>
    <t>7021171100</t>
  </si>
  <si>
    <t>7021175310</t>
  </si>
  <si>
    <t>70211S1100</t>
  </si>
  <si>
    <t>7021200000</t>
  </si>
  <si>
    <t>7021271100</t>
  </si>
  <si>
    <t>7021275310</t>
  </si>
  <si>
    <t>70212S1100</t>
  </si>
  <si>
    <t>7021300000</t>
  </si>
  <si>
    <t>7021375310</t>
  </si>
  <si>
    <t>7021700000</t>
  </si>
  <si>
    <t>7021700020</t>
  </si>
  <si>
    <t>7021900000</t>
  </si>
  <si>
    <t>7021913060</t>
  </si>
  <si>
    <t>7082300000</t>
  </si>
  <si>
    <t>7082329990</t>
  </si>
  <si>
    <t>7022100000</t>
  </si>
  <si>
    <t>7022100020</t>
  </si>
  <si>
    <t>7022171100</t>
  </si>
  <si>
    <t>70221S1100</t>
  </si>
  <si>
    <t>7022300000</t>
  </si>
  <si>
    <t>7022313060</t>
  </si>
  <si>
    <t>7300000000</t>
  </si>
  <si>
    <t>7310000000</t>
  </si>
  <si>
    <t>7312300000</t>
  </si>
  <si>
    <t>7312300020</t>
  </si>
  <si>
    <t>7312371100</t>
  </si>
  <si>
    <t>73123S1100</t>
  </si>
  <si>
    <t>7312400000</t>
  </si>
  <si>
    <t>7312400020</t>
  </si>
  <si>
    <t>7312471100</t>
  </si>
  <si>
    <t>73124S1100</t>
  </si>
  <si>
    <t>7312500000</t>
  </si>
  <si>
    <t>7312513060</t>
  </si>
  <si>
    <t>7070000000</t>
  </si>
  <si>
    <t>7071100000</t>
  </si>
  <si>
    <t>7071129990</t>
  </si>
  <si>
    <t>7071200000</t>
  </si>
  <si>
    <t>7071271070</t>
  </si>
  <si>
    <t>70712S1070</t>
  </si>
  <si>
    <t>7200000000</t>
  </si>
  <si>
    <t>7220000000</t>
  </si>
  <si>
    <t>7221100000</t>
  </si>
  <si>
    <t>7221129990</t>
  </si>
  <si>
    <t>7221200000</t>
  </si>
  <si>
    <t>7221229990</t>
  </si>
  <si>
    <t>7221300000</t>
  </si>
  <si>
    <t>7221329990</t>
  </si>
  <si>
    <t>7222100000</t>
  </si>
  <si>
    <t>7222120010</t>
  </si>
  <si>
    <t>7230000000</t>
  </si>
  <si>
    <t>7231200000</t>
  </si>
  <si>
    <t>7231200020</t>
  </si>
  <si>
    <t>7231400000</t>
  </si>
  <si>
    <t>7231400020</t>
  </si>
  <si>
    <t>7231500000</t>
  </si>
  <si>
    <t>7231513060</t>
  </si>
  <si>
    <t>7040000000</t>
  </si>
  <si>
    <t>7041100000</t>
  </si>
  <si>
    <t>7041100020</t>
  </si>
  <si>
    <t>7041300000</t>
  </si>
  <si>
    <t>7041313060</t>
  </si>
  <si>
    <t>7050000000</t>
  </si>
  <si>
    <t>7051100000</t>
  </si>
  <si>
    <t>7051100020</t>
  </si>
  <si>
    <t>7051300000</t>
  </si>
  <si>
    <t>7051313060</t>
  </si>
  <si>
    <t>7060000000</t>
  </si>
  <si>
    <t>7061100000</t>
  </si>
  <si>
    <t>7061171040</t>
  </si>
  <si>
    <t>70611S1040</t>
  </si>
  <si>
    <t>7061200000</t>
  </si>
  <si>
    <t>7061275320</t>
  </si>
  <si>
    <t>7061500000</t>
  </si>
  <si>
    <t>7061513060</t>
  </si>
  <si>
    <t>7101200000</t>
  </si>
  <si>
    <t>7101220090</t>
  </si>
  <si>
    <t>7101229990</t>
  </si>
  <si>
    <t>7311100000</t>
  </si>
  <si>
    <t>7311129990</t>
  </si>
  <si>
    <t>7313100000</t>
  </si>
  <si>
    <t>7313100020</t>
  </si>
  <si>
    <t>7313171100</t>
  </si>
  <si>
    <t>73131S1100</t>
  </si>
  <si>
    <t>7313300000</t>
  </si>
  <si>
    <t>7313313060</t>
  </si>
  <si>
    <t>7320000000</t>
  </si>
  <si>
    <t>7321100000</t>
  </si>
  <si>
    <t>7321100020</t>
  </si>
  <si>
    <t>7321171100</t>
  </si>
  <si>
    <t>73211S1100</t>
  </si>
  <si>
    <t>7321200000</t>
  </si>
  <si>
    <t>7321213060</t>
  </si>
  <si>
    <t>7322300000</t>
  </si>
  <si>
    <t>7322300020</t>
  </si>
  <si>
    <t>7322400000</t>
  </si>
  <si>
    <t>7322400020</t>
  </si>
  <si>
    <t>7323100000</t>
  </si>
  <si>
    <t>7323100020</t>
  </si>
  <si>
    <t>7330000000</t>
  </si>
  <si>
    <t>7331300000</t>
  </si>
  <si>
    <t>7331300020</t>
  </si>
  <si>
    <t>7332200000</t>
  </si>
  <si>
    <t>7332200020</t>
  </si>
  <si>
    <t>7332271100</t>
  </si>
  <si>
    <t>73322S1100</t>
  </si>
  <si>
    <t>7332300000</t>
  </si>
  <si>
    <t>7332300020</t>
  </si>
  <si>
    <t>7332371100</t>
  </si>
  <si>
    <t>73323S1100</t>
  </si>
  <si>
    <t>7332400000</t>
  </si>
  <si>
    <t>7332413060</t>
  </si>
  <si>
    <t>7350000000</t>
  </si>
  <si>
    <t>7351200000</t>
  </si>
  <si>
    <t>7351220090</t>
  </si>
  <si>
    <t>9900080010</t>
  </si>
  <si>
    <t>7011475100</t>
  </si>
  <si>
    <t>7011475110</t>
  </si>
  <si>
    <t>7021975100</t>
  </si>
  <si>
    <t>7021975110</t>
  </si>
  <si>
    <t>7032200000</t>
  </si>
  <si>
    <t>7032275240</t>
  </si>
  <si>
    <t>7032300000</t>
  </si>
  <si>
    <t>7032375200</t>
  </si>
  <si>
    <t>7032375210</t>
  </si>
  <si>
    <t>7032400000</t>
  </si>
  <si>
    <t>7032475250</t>
  </si>
  <si>
    <t>7313375100</t>
  </si>
  <si>
    <t>7313375110</t>
  </si>
  <si>
    <t>7321275100</t>
  </si>
  <si>
    <t>7321275110</t>
  </si>
  <si>
    <t>7011500000</t>
  </si>
  <si>
    <t>7011575360</t>
  </si>
  <si>
    <t>7011600000</t>
  </si>
  <si>
    <t>7011675370</t>
  </si>
  <si>
    <t>7032100000</t>
  </si>
  <si>
    <t>7032175520</t>
  </si>
  <si>
    <t>7032500000</t>
  </si>
  <si>
    <t>7032575350</t>
  </si>
  <si>
    <t>7032600000</t>
  </si>
  <si>
    <t>7032675340</t>
  </si>
  <si>
    <t>8211400000</t>
  </si>
  <si>
    <t>8211475560</t>
  </si>
  <si>
    <t>8211500000</t>
  </si>
  <si>
    <t>8211575530</t>
  </si>
  <si>
    <t>7210000000</t>
  </si>
  <si>
    <t>7211100000</t>
  </si>
  <si>
    <t>7211129990</t>
  </si>
  <si>
    <t>7212100000</t>
  </si>
  <si>
    <t>7212129990</t>
  </si>
  <si>
    <t>8030000000</t>
  </si>
  <si>
    <t>8031200000</t>
  </si>
  <si>
    <t>8031229990</t>
  </si>
  <si>
    <t>8120000000</t>
  </si>
  <si>
    <t>8122100000</t>
  </si>
  <si>
    <t>8122120120</t>
  </si>
  <si>
    <t>700</t>
  </si>
  <si>
    <t>Всего расходов:</t>
  </si>
  <si>
    <t>7082200000</t>
  </si>
  <si>
    <t>7082420090</t>
  </si>
  <si>
    <t>Сумма на 2019 год</t>
  </si>
  <si>
    <t>Сумма на 2018 год</t>
  </si>
  <si>
    <t>в том числе за счет средств бюджетов других уровней бюджетной системы Российской Федерации</t>
  </si>
  <si>
    <t>Приложение № 6</t>
  </si>
  <si>
    <t>к решению Совета депутатов ЗАТО Александровск</t>
  </si>
  <si>
    <t>Распределение бюджетных ассигнований по разделам, подразделам, целевым статьям (муниципальным программам ЗАТО Александровск и непрограммным направлениям деятельности), группам видов расходов классификации расходов местного бюджета ЗАТО Александровск на 2017 год</t>
  </si>
  <si>
    <t>рублей</t>
  </si>
  <si>
    <t>Наименование</t>
  </si>
  <si>
    <t>Раздел</t>
  </si>
  <si>
    <t>Подраздел</t>
  </si>
  <si>
    <t>Целевая статья расходов</t>
  </si>
  <si>
    <t>Вид расходов</t>
  </si>
  <si>
    <t>Процентные платежи по муниципальному долгу</t>
  </si>
  <si>
    <t>Расходы на обеспечение функций работников органов местного самоуправления</t>
  </si>
  <si>
    <t>Расходы на выплаты по оплате труда главы муниципального образования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</si>
  <si>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</si>
  <si>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Расходы на выплаты по оплате труда депутатов представительного органа муниципального образования</t>
  </si>
  <si>
    <t>Расходы на выплаты по оплате труда работников органов местного самоуправления</t>
  </si>
  <si>
    <t>Расходы на выплаты по оплате труда главы местной администрации</t>
  </si>
  <si>
    <t>Расходы на единовременное поощрение за многолетнюю безупречную муниципальную службу, выплачиваемое муниципальным служащим</t>
  </si>
  <si>
    <t>Расходы на выплаты по оплате труда руководителя контрольно-счетной палаты муниципального образования и его заместителей</t>
  </si>
  <si>
    <t>Резервный фонд администрации ЗАТО Александровск</t>
  </si>
  <si>
    <t>Предоставление субсидий социально-ориентированным некоммерческим организациям</t>
  </si>
  <si>
    <t>Мероприятия по развитию и обслуживанию системы АПК "Безопасный город"</t>
  </si>
  <si>
    <t>Прочие направления расходов муниципальной программы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</si>
  <si>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</si>
  <si>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</si>
  <si>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</si>
  <si>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реализацию Закона Мурманской области "Об административных комиссиях"</t>
  </si>
  <si>
    <t>Оценка недвижимости, признание прав и регулирование отношений по государственной и муниципальной собственности</t>
  </si>
  <si>
    <t>Прочие расходы администрации ЗАТО Александровск</t>
  </si>
  <si>
    <t>Выплаты по решениям судов и оплата государственной пошлины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</si>
  <si>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</si>
  <si>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Субвенция на осуществление деятельности по отлову и содержанию безнадзорных животных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</si>
  <si>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</si>
  <si>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Возмещение затрат в связи с осуществлением регулярных пассажирских перевозок на социально-значимых маршрутах</t>
  </si>
  <si>
    <t>Субвенция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области"</t>
  </si>
  <si>
    <t>Ремонт автомобильных дорог общего пользования местного значения</t>
  </si>
  <si>
    <t>Содержание автомобильных дорог общего пользования местного значения, за исключением капитального ремонта и ремонта</t>
  </si>
  <si>
    <t>Капитальный и текущий ремонт объектов муниципальной собственности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</si>
  <si>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</si>
  <si>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Мероприятия по землеустройству и землепользованию</t>
  </si>
  <si>
    <t>Взносы на проведение капитального ремонта общего имущества многоквартирных домов</t>
  </si>
  <si>
    <t>Капитальный и текущий ремонт объектов жилищно-коммунального хозяйства</t>
  </si>
  <si>
    <t>Возмещение убытков по жилищно-коммунальному хозяйству</t>
  </si>
  <si>
    <t>Организация наружного освещения улиц и дворовых территорий муниципального образования</t>
  </si>
  <si>
    <t>Обеспечение сохранности, технического обслуживания и содержания прочих объектов благоустройства</t>
  </si>
  <si>
    <t>Мероприятия, связанные со строительством (реконструкцией) объектов муниципальной собственности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</si>
  <si>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</si>
  <si>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Субвенция на реализацию Закона Мурманской области "О региональных нормативах финансового обеспечения образовательной деятельности муниципальных дошкольных образовательных организаций"</t>
  </si>
  <si>
    <t>Субсидия на софинансирование капитальных вложений в объекты муниципальной собственности (включая остатки прошлых лет)</t>
  </si>
  <si>
    <t>Субвенция на реализацию Закона Мурманской области "О региональных нормативах финансового обеспечения образовательной деятельности в Мурманской области"</t>
  </si>
  <si>
    <t>Стипендии и премии главы администрации ЗАТО Александровск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</si>
  <si>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</si>
  <si>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Субвенция на обеспечение бесплатным питанием отдельных категорий обучающихся</t>
  </si>
  <si>
    <t>Предоставление дополнительного пенсионного обеспечения муниципальным служащим в органах местного самоуправления ЗАТО Александровск и лицам, замещавшим муниципальные должности в муниципальном образовании ЗАТО Александровск</t>
  </si>
  <si>
    <t>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</si>
  <si>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</si>
  <si>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Субвенция на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</si>
  <si>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</si>
  <si>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</si>
  <si>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</si>
  <si>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</si>
  <si>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</si>
  <si>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</si>
  <si>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на реализацию Закона Мурманской области "О патронате"в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</si>
  <si>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</si>
  <si>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</si>
  <si>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</si>
  <si>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Муниципальная программа ЗАТО Александровск "Эффективное управление муниципальными финансами и оптимизация муниципального долга ЗАТО Александровск" на 2014 - 2020 годы</t>
  </si>
  <si>
    <t>Обеспечение выполнения служебного поручения муниципальными служащими вне места постоянной работы</t>
  </si>
  <si>
    <t>Обеспечение профессиональной подготовки, переподготовки, повышение квалификации муниципальных служащих, участие в семинарах и совещаниях</t>
  </si>
  <si>
    <t>Обеспечение безопасных условий труда</t>
  </si>
  <si>
    <t>Непрограммная деятельность</t>
  </si>
  <si>
    <t>Актуализация нормативных актов ЗАТО Александровск (в пределах своих полномочий), регламентирующих порядок, условия и качество предоставления муниципальных услуг (выполнения работ) подведомственными учреждениями, в соответствии с действующим законодательством Российской Федерации и (или) Мурманской области, контроль за соблюдением законодательства</t>
  </si>
  <si>
    <t>Контроль и диагностика деятельности муниципальных образовательных учреждений по обеспечению выполнения государственных стандартов образования, создания условий для осуществления присмотра и ухода за детьми</t>
  </si>
  <si>
    <t>Учет детей, подлежащих обучению по образовательным программам дошкольного, начального общего, основного общего и среднего общего образования, закрепление муниципальных образовательных организаций за конкретными территориальными образованиями, входящими в состав ЗАТО Александровск</t>
  </si>
  <si>
    <t>Осуществление в установленном порядке сбора, обработки и анализа статистической, финансовой и бухгалтерской отчетности подведомственных муниципальных учреждений, предоставление в соответствующие органы консолидированной статистической, финансовой и бухгалтерской отчетности, обеспечение ее достоверности, контроль деятельности подведомственных учреждений</t>
  </si>
  <si>
    <t>Нормативно-методическое обеспечение и организация бюджетного процесса в ЗАТО Александровск, осуществление контроля и надзора в финансово-бюджетной сфере</t>
  </si>
  <si>
    <t>Осуществление мероприятий по организационному, документационному, правовому, финансово-экономическому обеспечению деятельности администрации ЗАТО Александровск</t>
  </si>
  <si>
    <t>Реализация функций в сфере управления муниципальным имуществом</t>
  </si>
  <si>
    <t>Обеспечение исполнения мероприятий в рамках муниципальных программ управления культуры, спорта и молодежной политики</t>
  </si>
  <si>
    <t>Создание условий для повышения эффективности деятельности социально ориентированным некоммерческим организациям инвалидов</t>
  </si>
  <si>
    <t>Содержание и эксплуатация установленного оборудования АПК "Безопасный город"</t>
  </si>
  <si>
    <t>Разработка проектно-сметной документации на создание АПК "Безопасный город"</t>
  </si>
  <si>
    <t>Материальное обеспечение допуска лиц не проживающих на территории ЗАТО Александровск охраняемой контролируемой зоны (изготовление бланков)</t>
  </si>
  <si>
    <t>Модернизация и обслуживание сетей теплоснабжения (замена системы отопления на полипропиленовые трубы, замена радиаторов, установка терморегуляторов на отопительные приборы, установка системы приточно- вытяжных установок с рециркуляцией тепла, промывка и опрессовка системы теплоснабжения)</t>
  </si>
  <si>
    <t>Проведение оценки рыночной стоимости нежилых помещений, арендуемых субъектами МСП</t>
  </si>
  <si>
    <t>Изготовление технической документации на объекты недвижимого имущества</t>
  </si>
  <si>
    <t>Оказание финансовой поддержки субъектам МСП (предоставление грантов начинающим предпринимателям на создание собственного бизнеса)</t>
  </si>
  <si>
    <t>Обеспечение доступа к информации о деятельности органов местного самоуправления с помощью интернет-сайта</t>
  </si>
  <si>
    <t>Развитие информационно-технологической инфраструктуры органов местного самоуправления</t>
  </si>
  <si>
    <t>Приобретение средств (ЭЦП, VipNet) для подключения к системе межведомственного электронного взаимодействия</t>
  </si>
  <si>
    <t>Развитие информационно- технологической инфраструктуры муниципальных учреждений</t>
  </si>
  <si>
    <t>Защита информационных систем и ресурсов</t>
  </si>
  <si>
    <t>Мероприятия по технической защите информации</t>
  </si>
  <si>
    <t>Организация предоставления государственных и муниципальных услуг по принципу "одного окна"</t>
  </si>
  <si>
    <t>Реализация Закона Мурманской области "Об административных комиссиях"</t>
  </si>
  <si>
    <t>Организация работ по проведению оценки рыночной стоимости объектов недвижимого имущества, находящегося в собственности муниципального образования ЗАТО Александровск</t>
  </si>
  <si>
    <t>Обеспечение сохранности, комплектования, учета и использования архивных документов</t>
  </si>
  <si>
    <t>Начисление, учет, контроль за правильностью исчисления, полнотой и своевременностью осуществления неналоговых платежей, а также взыскание задолженности по платежам в бюджет по договорам аренды земельных участком и муниципального имущества (сокращение недоимки)</t>
  </si>
  <si>
    <t>Проведение мероприятий по подготовке аукционов, конкурсов, тендеров и т.д. в целях получения дополнительных доходов в местный бюджет</t>
  </si>
  <si>
    <t>Своевременное распределение муниципальных жилых помещений гражданам в ЗАТО Александровск</t>
  </si>
  <si>
    <t>Приобретение жилья, предоставление субсидий и выдача государственных жилищных сертификатов гражданам, выезжающим за пределы ЗАТО Александровск</t>
  </si>
  <si>
    <t>Качественное оформление документов граждан и представителей предприятий и организаций по вопросам получения разрешения на въезд на территорию ЗАТО Александровск</t>
  </si>
  <si>
    <t>Автотранспортная перевозка пассажиров и грузов и сопутствующие ей работы</t>
  </si>
  <si>
    <t>Содержание муниципального имущества ЗАТО Александровск, закрепленного за МКУ "ЦАХиТО"на праве оперативного управления</t>
  </si>
  <si>
    <t>Материально-техническое обеспечение органов местного самоуправления ЗАТО Александровск</t>
  </si>
  <si>
    <t>Осуществление переданных федеральных полномочий по государственной регистрации актов гражданского состояния</t>
  </si>
  <si>
    <t>Оказание поддержки добровольным общественным объединениям правоохранительной направленности и народным дружинам (приобретение отличительной символики, страхование народных дружинников)</t>
  </si>
  <si>
    <t>Обслуживание автоматической системы контроля за радиационной обстановкой г. Гаджиево, г. Снежногорск</t>
  </si>
  <si>
    <t>Организация и проведение работ по предупреждению и ликвидации чрезвычайных ситуаций и их последствий, гражданская оборона</t>
  </si>
  <si>
    <t>Обслуживание МАСЦО ЗАТО Александровск</t>
  </si>
  <si>
    <t>Мероприятия по созданию, развитию и организации эксплуатации системы обеспечения вызова экстренных оперативных служб по единому номеру "112"</t>
  </si>
  <si>
    <t>Организация регулирования численности безнадзорных животных</t>
  </si>
  <si>
    <t>Сохранение гарантированного и качественного транспортного обслуживания населения по социально значимым маршрутам в границах территории ЗАТО Александровск</t>
  </si>
  <si>
    <t>Обеспечение перевозок обучающихся государственных областных и муниципальных образовательных организаций городским и пригородным автомобильным транспортом общего пользования</t>
  </si>
  <si>
    <t>Приобретение автобусов</t>
  </si>
  <si>
    <t>Оснащение участков улично-дорожной сети ЗАТО Александровск пешеходными ограждениями, в том числе в зоне пешеходных переходов</t>
  </si>
  <si>
    <t>Модернизация нерегулируемых пешеходных переходов, в том числе непосредственно прилегающих к дошкольным образовательным организациям, общеобразовательным организациями и организациям дополнительного образования, средствами освещения, искусственными дорожными неровностями, светофорами Т.7, системами светового оповещения, дорожными знаками с внутренним освещением и светодиодной индексацией, Г-образными опорами, дорожной разметкой, в т.ч. с применением штучных форм и цветовых дорожных покрытий, световозвращателями и индикаторами, а также устройствами дополнительного освещения и другими элементами повышения БДД</t>
  </si>
  <si>
    <t>Ремонт автомобильных дорог общего пользования и междомовых проездов ЗАТО Александровск</t>
  </si>
  <si>
    <t>Содержание автомобильных дорог общего пользования на территории ЗАТО Александровск в соответствии с требованием ГОСТ Р 50597-93</t>
  </si>
  <si>
    <t>Утверждение нормативов финансовых затрат на содержание автомобильных дорог общего пользования местного значения ЗАТО Александровск</t>
  </si>
  <si>
    <t>Предоставление комплексных услуг по созданию, поддержке, развитию информационно- телекоммуникационной инфраструктуры в органах местного самоуправления и муниципальных казенных учреждениях</t>
  </si>
  <si>
    <t>Реализация Закона Мурманской области "О некоторых вопросах в области регулирования торговой деятельности на территории Мурманской области"</t>
  </si>
  <si>
    <t>Организация работ по проведению кадастровых работ объектов недвижимого имущества, в том числе земельные участки с постановкой объектов на государственный кадастр недвижимости</t>
  </si>
  <si>
    <t>Сбор информации об объекте: акт обследования технического состояния объекта (дефектный акт), составление проекта производства работ, технического состояния объекта, сметы</t>
  </si>
  <si>
    <t>Проведение процедуры размещения аукционной документации на электронной площадке с последующим заключением муниципальных контрактов на выполнение работ в области капитального строительства и капитального ремонта по результатам торгов</t>
  </si>
  <si>
    <t>Своевременный и постоянный контроль за ведением строительства и капитального ремонта, соблюдение норм правил СНиПов, сроков работ, применение качественных материалов, недопущение брака в ремонтных и строительных работах, соблюдение безопасности строительства</t>
  </si>
  <si>
    <t>Ремонт квартир</t>
  </si>
  <si>
    <t>Взносы на обеспечение реализации региональной программы капитального ремонта общего имущества в многоквартирных домах в части жилых муниципальных помещений</t>
  </si>
  <si>
    <t>Взносы на обеспечение реализации региональной программы капитального ремонта общего имущества в многоквартирных домах в части нежилых муниципальных помещений</t>
  </si>
  <si>
    <t>Капитальный ремонт сетей водоотведения</t>
  </si>
  <si>
    <t>Капитальный ремонт сетей теплоснабжения</t>
  </si>
  <si>
    <t>Предоставление субсидии на возмещение расходов, связанных с невозможностью взыскания задолженности по безнадежным долгам и за пустующий муниципальный фонд</t>
  </si>
  <si>
    <t>Оплата за содержание, текущий ремонт и коммунальные услуги по пустующему муниципальному жилищному фонду</t>
  </si>
  <si>
    <t>Улучшение качества освещения улиц на территории муниципального образования ЗАТО Александровск</t>
  </si>
  <si>
    <t>Повышение качества организации содержания лестничных сходов, детских площадок, тротуаров, дорожек и дворовых территорий муниципального образования ЗАТО Александровск</t>
  </si>
  <si>
    <t>Улучшение технического состояния и приведение в качественное состояние объектов инфраструктуры и благоустройства на территории ЗАТО Александровск</t>
  </si>
  <si>
    <t>Организация ритуальных услуг и содержание мест захоронения</t>
  </si>
  <si>
    <t>Создание условий и организация обустройства мест массового отдыха населения</t>
  </si>
  <si>
    <t>Организация ограничения доступа в законсервированные дома на территории ЗАТО Александровск</t>
  </si>
  <si>
    <t>Обеспечение эффективной работы объектов жилищно-коммунальной инфраструктуры</t>
  </si>
  <si>
    <t>Предоставление социальных гарантий работникам</t>
  </si>
  <si>
    <t>Строительство детского сада на 300 мест в г.Гаджиево</t>
  </si>
  <si>
    <t>Обеспечение пожарной и электрической безопасности учреждений системы образования</t>
  </si>
  <si>
    <t>Обеспечение антитеррористической и противокриминальной безопасности учреждений системы образования</t>
  </si>
  <si>
    <t>Предоставление общедоступного бесплатного начального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</si>
  <si>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основного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</si>
  <si>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среднего общего образования по основным общеобразовательным программам в образовательных учреждениях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</si>
  <si>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</t>
  </si>
  <si>
    <t>Обеспечение благоустройства территории ОУ</t>
  </si>
  <si>
    <t>Предоставление дополнительного образования детям в учреждениях дополнительного образования детей</t>
  </si>
  <si>
    <t>Реализация дополнительных общеразвивающих программ</t>
  </si>
  <si>
    <t>Реализация дополнительных общеобразовательных предпрофессиональных программ в области искусств</t>
  </si>
  <si>
    <t>Организация отдыха и оздоровления детей в возрасте от 6 до 18 лет</t>
  </si>
  <si>
    <t>Предоставление питания детям, находящимся в оздоровительном лагере дневного пребывания в МОУ</t>
  </si>
  <si>
    <t>Организация и проведение мероприятий, направленных на совершенствование культурно-досуговой сферы молодежной среды</t>
  </si>
  <si>
    <t>Обеспечение участия молодежных лидеров и активистов, молодых семей, специалистов в областных, межрегиональных, всероссийских и международных конкурсах, форумах, фестивалях, проектах и других мероприятиях</t>
  </si>
  <si>
    <t>Обеспечение функционирования молодежного сайта ЗАТО Александровск "ZatoRozetka"</t>
  </si>
  <si>
    <t>Выплата премий и стипендий главы администрации ЗАТО Александровск одаренным детям и учащейся молодежи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</si>
  <si>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</si>
  <si>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потенциала подростков и молодежи</t>
  </si>
  <si>
    <t>Информационно-методическое сопровождение образовательного процесса учреждений системы образования ЗАТО Александровск</t>
  </si>
  <si>
    <t>Комплексное и качественное хозяйственно-эксплуатационное обслуживание учреждений системы образования ЗАТО Александровск</t>
  </si>
  <si>
    <t>Предоставление бесплатного молока обучающимся в 1-4 классах МОУ</t>
  </si>
  <si>
    <t>Предоставление бесплатного питания отдельным категориям обучающихся МОУ</t>
  </si>
  <si>
    <t>Предоставление социальных гарантий работникам МАУО "КШП"</t>
  </si>
  <si>
    <t>Обеспечение выполнения требований СанПиН и технической безопасности учреждений системы образования</t>
  </si>
  <si>
    <t>Адаптация муниципальных учреждений культуры (устройство пандусов, поручней, установка кнопок вызова, капитальный ремонт помещений для беспрепятственного доступа)</t>
  </si>
  <si>
    <t>Организация и проведение культурно-массовых мероприятий в соответствии с годовым планом</t>
  </si>
  <si>
    <t>Организация деятельности клубных формирований и формирований самодеятельного народного творчества</t>
  </si>
  <si>
    <t>Библиотечное, библиографическое и информационное обслуживание пользователей библиотеки</t>
  </si>
  <si>
    <t>Формирование, учет, изучение, обеспечение физического сохранения и безопасности фондов библиотек, включая оцифровку фонда</t>
  </si>
  <si>
    <t>Библиографическая обработка документов и создание каталогов</t>
  </si>
  <si>
    <t>Организация и проведение культурно-массовых мероприятий</t>
  </si>
  <si>
    <t>Формирование, учет, изучение, обеспечение физического сохранения и безопасности музейных предметов, музейных коллекций</t>
  </si>
  <si>
    <t>Публичный показ музейных предметов, музейных коллекций</t>
  </si>
  <si>
    <t>Создание экспозиций (выставок) музеев, организация выездных выставок</t>
  </si>
  <si>
    <t>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</si>
  <si>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>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</si>
  <si>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</si>
  <si>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</si>
  <si>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>Реализация переданных государственных полномочий по опеке и попечительству в отношении несовершеннолетних</t>
  </si>
  <si>
    <t>Выплата денежного вознаграждения лицам, осуществляющим постинтернатный патронат в отношении несовершеннолетних и социальный патронат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</si>
  <si>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</si>
  <si>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Реализация Закона Мурманской области "О комиссиях по делам несовершеннолетних и защите их прав в Мурманской области"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</si>
  <si>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</si>
  <si>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Организация проведения официальных физкультурно-оздоровительных и спортивных мероприятий ЗАТО Александровск</t>
  </si>
  <si>
    <t>Организация участия команд и делегаций спортсменов ЗАТО Александровск в чемпионатах, первенствах, кубках на межрегиональных, областных соревнованиях по различным видам</t>
  </si>
  <si>
    <t>Обеспечение информирования населения, организаций (предприятий) по вопросам социально-экономического и культурного развития ЗАТО Александровск</t>
  </si>
  <si>
    <t>Исполнение принятых обязательств по погашению и обслуживанию долговых обязательств ЗАТО Александровск</t>
  </si>
  <si>
    <t>Подпрограмма 8 "Развитие муниципальной службы ЗАТО Александровск"</t>
  </si>
  <si>
    <t>Подпрограмма 3 "Развитие системы образования через эффективное выполнение муниципальных функций"</t>
  </si>
  <si>
    <t>Подпрограмма 1 "Совершенствование финансовой и бюджетной политики"</t>
  </si>
  <si>
    <t>Подпрограмма 1 "Обеспечение деятельности администрации ЗАТО Александровск"</t>
  </si>
  <si>
    <t>Подпрограмма 2 "Обеспечение деятельности управления муниципальной собственностью администрации ЗАТО Александровск"</t>
  </si>
  <si>
    <t>Подпрограмма 3 "Обеспечение деятельности управления культуры, спорта и молодежной политики администрации ЗАТО Александровск"</t>
  </si>
  <si>
    <t>Муниципальная программа "Повышение качества жизни отдельных категорий граждан ЗАТО Александровск"на 2014 - 2020 годы</t>
  </si>
  <si>
    <t>Подпрограмма 1 "Профилактика правонарушений, обеспечение безопасности населения ЗАТО Александровск"</t>
  </si>
  <si>
    <t>Подпрограмма 4 "Профилактика экстремизма и терроризма в ЗАТО Александровск"</t>
  </si>
  <si>
    <t>Муниципальная программа ЗАТО Александровск "Энергоэффективность и развитие энергетики" на 2014 - 2020 годы</t>
  </si>
  <si>
    <t>Муниципальная программа "Развитие инвестиционной деятельности муниципального образования ЗАТО Александровск" на 2014 - 2020 годы</t>
  </si>
  <si>
    <t>Подпрограмма 2 "Развитие информационного общества и формирование электронного правительства"</t>
  </si>
  <si>
    <t>Подпрограмма 4 "Создание и развитие многофункционального центра предоставления государственных и муниципальных услуг ЗАТО Александровск"</t>
  </si>
  <si>
    <t>Подпрограмма 4 "Архивное дело ЗАТО Александровск"</t>
  </si>
  <si>
    <t>Подпрограмма 5 "Осуществление муниципальных функций, направленных на повышение эффективности управления муниципальным имуществом"</t>
  </si>
  <si>
    <t>Подпрограмма 6 "Обслуживание деятельности органов местного самоуправления"</t>
  </si>
  <si>
    <t>Подпрограмма 3 "Защита населения и территории ЗАТО Александровск от чрезвычайных ситуаций, мероприятия в области гражданской обороны"</t>
  </si>
  <si>
    <t>Подпрограмма 4 "Благоустройство территории муниципального образования ЗАТО Александровск"</t>
  </si>
  <si>
    <t>Подпрограмма 6 "Транспортное обслуживание населения ЗАТО Александровск"</t>
  </si>
  <si>
    <t>Подпрограмма 2 "Повышение безопасности дорожного движения и снижение дорожно-транспортного травматизма в ЗАТО Александровск"</t>
  </si>
  <si>
    <t>Муниципальная программа "Развитие транспортной системы ЗАТО Александровск" на 2014 - 2020 годы</t>
  </si>
  <si>
    <t>Подпрограмма 1 "Управление развитием информационного общества и формированием электронного правительства"</t>
  </si>
  <si>
    <t>Подпрограмма 7 "Повышение эффективности управления капитальным строительством и капитальным ремонтом объектов инфраструктуры ЗАТО Александровск"</t>
  </si>
  <si>
    <t>Подпрограмма 1 "Капитальный ремонт многоквартирных домов ЗАТО Александровск"</t>
  </si>
  <si>
    <t>Подпрограмма 2 "Подготовка объектов и систем жизнеобеспечения ЗАТО Александровск к работе в осенне-зимний период"</t>
  </si>
  <si>
    <t>Подпрограмма 3 "Обеспечение собираемости платежей населения за оказанные жилищно-коммунальные услуги в ЗАТО Александровск"</t>
  </si>
  <si>
    <t>Подпрограмма 5 "Управление развитием системы жилищно-коммунального хозяйства ЗАТО Александровск"</t>
  </si>
  <si>
    <t>Подпрограмма 1 "Качественное и доступное дошкольное образование"</t>
  </si>
  <si>
    <t>Подпрограмма 8 "Развитие современной инфраструктуры системы образования ЗАТО Александровск"</t>
  </si>
  <si>
    <t>Подпрограмма 2 "Обеспечение предоставления муниципальных услуг в сфере общего и дополнительного образования"</t>
  </si>
  <si>
    <t>Подпрограмма 1 "Развитие творческого потенциала и организация досуга населения ЗАТО Александровск"</t>
  </si>
  <si>
    <t>Подпрограмма 7 "Организация отдыха, оздоровления и занятости детей и молодежи ЗАТО Александровск"</t>
  </si>
  <si>
    <t>Подпрограмма 2 "Молодежь ЗАТО Александровск"</t>
  </si>
  <si>
    <t>Подпрограмма 3 "Патриотическое воспитание граждан"</t>
  </si>
  <si>
    <t>Подпрограмма 4 "Обеспечение информационно-методического сопровождения образовательного процесса муниципальных учреждений"</t>
  </si>
  <si>
    <t>"Подпрограмма 5 "Обеспечение хозяйственно-эксплуатационного обслуживания учреждений системы образования ЗАТО Александровск"</t>
  </si>
  <si>
    <t>Подпрограмма 6 "Школьное здоровое питание"</t>
  </si>
  <si>
    <t>Подпрограмма 2 "Библиотечное дело ЗАТО Александровск"</t>
  </si>
  <si>
    <t>Подпрограмма 3 "Музейное дело ЗАТО Александровск"</t>
  </si>
  <si>
    <t>Подпрограмма 5 "Модернизация учреждений культуры и дополнительного образования в сфере культуры ЗАТО Александровск"</t>
  </si>
  <si>
    <t>Подпрограмма 1 "Развитие физической культуры и спорта"</t>
  </si>
  <si>
    <t>Подпрограмма 3 "Информационное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информации"</t>
  </si>
  <si>
    <t>Подпрограмма 2 "Эффективное управление муниципальным долгом"</t>
  </si>
  <si>
    <t>Муниципальная программа ЗАТО Александровск "Эффективное муниципальное управление"на 2014 - 2020 годы</t>
  </si>
  <si>
    <t>Муниципальная программа ЗАТО Александровск "Развитие образования"на 2014 - 2020 годы</t>
  </si>
  <si>
    <t>Муниципальная программа "Обеспечение комплексной безопасности населения ЗАТО Александровск"на 2014 - 2020 годы</t>
  </si>
  <si>
    <t>Муниципальная программа ЗАТО Александровск "Информационное общество" на 2014 - 2020 годы</t>
  </si>
  <si>
    <t>Муниципальная программа ЗАТО Александровск "Обеспечение комфортной среды проживания населения муниципального образования" на 2014 - 2020 годы</t>
  </si>
  <si>
    <t>Муниципальная программа ЗАТО Александровск "Развитие культуры и сохранение культурного наследия"на 2014 - 2020 годы</t>
  </si>
  <si>
    <t>Муниципальная программа ЗАТО Александровск "Развитие физической культуры, спорта и молодежной политики"на 2014 - 2020 годы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</si>
  <si>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</si>
  <si>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</si>
  <si>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</si>
  <si>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</si>
  <si>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фонды</t>
  </si>
  <si>
    <t>Другие общегосударственные вопросы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</si>
  <si>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</si>
  <si>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</si>
  <si>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</si>
  <si>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</si>
  <si>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</si>
  <si>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</si>
  <si>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</si>
  <si>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</si>
  <si>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</si>
  <si>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</si>
  <si>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</si>
  <si>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</si>
  <si>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</si>
  <si>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</si>
  <si>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</si>
  <si>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</si>
  <si>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</si>
  <si>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</si>
  <si>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</si>
  <si>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</si>
  <si>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 xml:space="preserve">Физическая культура
</t>
  </si>
  <si>
    <t>Периодическая печать и издательства</t>
  </si>
  <si>
    <t>Обслуживание внутреннего государственного и муниципального долга</t>
  </si>
  <si>
    <t>ОБЩЕГОСУДАРСТВЕННЫЕ ВОПРОСЫ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</si>
  <si>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</si>
  <si>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</si>
  <si>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</si>
  <si>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</si>
  <si>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</si>
  <si>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</si>
  <si>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</si>
  <si>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</si>
  <si>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Субсидия на организацию отдыха детейМурманской области вмуниципальных образовательных организациях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</si>
  <si>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</si>
  <si>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</si>
  <si>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</si>
  <si>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</si>
  <si>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</si>
  <si>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</si>
  <si>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Расходы на выплаты персоналу в целях обеспечения выполнения функций госдарственными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</si>
  <si>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к решению Совета депутатов ЗАТО Александровск</t>
  </si>
  <si>
    <t>от "27"декабря 2016 года № 98</t>
  </si>
  <si>
    <t>в редакции решения Совета депутатов ЗАТО Александровск</t>
  </si>
  <si>
    <t>913</t>
  </si>
  <si>
    <t>Совет депутатов ЗАТО Александровск</t>
  </si>
  <si>
    <t>914</t>
  </si>
  <si>
    <t>915</t>
  </si>
  <si>
    <t>Управление муниципальной собственностью администрации ЗАТО Александровск</t>
  </si>
  <si>
    <t>916</t>
  </si>
  <si>
    <t>Управление финансов администрации ЗАТО Александровск</t>
  </si>
  <si>
    <t>918</t>
  </si>
  <si>
    <t>Управление образования администрации ЗАТО Александровск</t>
  </si>
  <si>
    <t>919</t>
  </si>
  <si>
    <t>924</t>
  </si>
  <si>
    <t>Сумма</t>
  </si>
  <si>
    <t>от 27 декабря 2016 года № 98</t>
  </si>
  <si>
    <t>Код ведом-ства</t>
  </si>
  <si>
    <t xml:space="preserve"> Обеспечение выполнения служебного поручения муниципальными служащими вне места постоянной работы</t>
  </si>
  <si>
    <t xml:space="preserve"> Обеспечение профессиональной подготовки, переподготовки, повышение квалификации муниципальных служащих, участие в семинарах и совещаниях</t>
  </si>
  <si>
    <t xml:space="preserve"> Обеспечение безопасных условий труда</t>
  </si>
  <si>
    <t xml:space="preserve"> Обеспечение доступа к информации о деятельности органов местного самоуправления с помощью интернет-сайта</t>
  </si>
  <si>
    <t xml:space="preserve"> Развитие информационно-технологической инфраструктуры органов местного самоуправления</t>
  </si>
  <si>
    <t xml:space="preserve"> Материально-техническое обеспечение органов местного самоуправления ЗАТО Александровск</t>
  </si>
  <si>
    <t>администрация муниципального образования закрытое административно-территориальное образование Александровск Мурманской области</t>
  </si>
  <si>
    <t xml:space="preserve"> Осуществление мероприятий по организационному, документационному, правовому, финансово-экономическому обеспечению деятельности администрации ЗАТО Александровск</t>
  </si>
  <si>
    <t xml:space="preserve"> Создание условий для повышения эффективности деятельности социально ориентированным некоммерческим организациям инвалидов</t>
  </si>
  <si>
    <t xml:space="preserve"> Модернизация и обслуживание сетей теплоснабжения (замена системы отопления на полипропиленовые трубы, замена радиаторов, установка терморегуляторов на отопительные приборы, установка системы приточно- вытяжных установок с рециркуляцией тепла, промывка и опрессовка системы теплоснабжения)</t>
  </si>
  <si>
    <t xml:space="preserve"> Оказание финансовой поддержки субъектам МСП (предоставление грантов начинающим предпринимателям на создание собственного бизнеса)</t>
  </si>
  <si>
    <t xml:space="preserve"> Приобретение средств (ЭЦП, VipNet) для подключения к системе межведомственного электронного взаимодействия</t>
  </si>
  <si>
    <t xml:space="preserve"> Развитие информационно- технологической инфраструктуры муниципальных учреждений</t>
  </si>
  <si>
    <t xml:space="preserve"> Защита информационных систем и ресурсов</t>
  </si>
  <si>
    <t xml:space="preserve"> Мероприятия по технической защите информации</t>
  </si>
  <si>
    <t xml:space="preserve"> Организация предоставления государственных и муниципальных услуг по принципу "одного окна"</t>
  </si>
  <si>
    <t xml:space="preserve"> Реализация Закона Мурманской области "Об административных комиссиях"</t>
  </si>
  <si>
    <t xml:space="preserve"> Обеспечение сохранности, комплектования, учета и использования архивных документов</t>
  </si>
  <si>
    <t xml:space="preserve"> Автотранспортная перевозка пассажиров и грузов и сопутствующие ей работы</t>
  </si>
  <si>
    <t xml:space="preserve"> Содержание муниципального имущества ЗАТО Александровск, закрепленного за МКУ "ЦАХиТО"на праве оперативного управления</t>
  </si>
  <si>
    <t xml:space="preserve"> Осуществление переданных федеральных полномочий по государственной регистрации актов гражданского состояния</t>
  </si>
  <si>
    <t xml:space="preserve"> Обслуживание автоматической системы контроля за радиационной обстановкой г. Гаджиево, г. Снежногорск</t>
  </si>
  <si>
    <t xml:space="preserve"> Организация и проведение работ по предупреждению и ликвидации чрезвычайных ситуаций и их последствий, гражданская оборона</t>
  </si>
  <si>
    <t xml:space="preserve"> Обслуживание МАСЦО ЗАТО Александровск</t>
  </si>
  <si>
    <t xml:space="preserve"> Сохранение гарантированного и качественного транспортного обслуживания населения по социально значимым маршрутам в границах территории ЗАТО Александровск</t>
  </si>
  <si>
    <t xml:space="preserve"> Обеспечение перевозок обучающихся государственных областных и муниципальных образовательных организаций городским и пригородным автомобильным транспортом общего пользования</t>
  </si>
  <si>
    <t xml:space="preserve"> Предоставление комплексных услуг по созданию, поддержке, развитию информационно- телекоммуникационной инфраструктуры в органах местного самоуправления и муниципальных казенных учреждениях</t>
  </si>
  <si>
    <t xml:space="preserve"> Реализация Закона Мурманской области "О некоторых вопросах в области регулирования торговой деятельности на территории Мурманской области"</t>
  </si>
  <si>
    <t xml:space="preserve"> Реализация Закона Мурманской области "О комиссиях по делам несовершеннолетних и защите их прав в Мурманской области"</t>
  </si>
  <si>
    <t xml:space="preserve"> 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</si>
  <si>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Обеспечение информирования населения, организаций (предприятий) по вопросам социально-экономического и культурного развития ЗАТО Александровск</t>
  </si>
  <si>
    <t xml:space="preserve"> Реализация функций в сфере управления муниципальным имуществом</t>
  </si>
  <si>
    <t xml:space="preserve"> Материальное обеспечение допуска лиц не проживающих на территории ЗАТО Александровск охраняемой контролируемой зоны (изготовление бланков)</t>
  </si>
  <si>
    <t xml:space="preserve"> Проведение оценки рыночной стоимости нежилых помещений, арендуемых субъектами МСП</t>
  </si>
  <si>
    <t xml:space="preserve"> Изготовление технической документации на объекты недвижимого имущества</t>
  </si>
  <si>
    <t xml:space="preserve"> Организация работ по проведению оценки рыночной стоимости объектов недвижимого имущества, находящегося в собственности муниципального образования ЗАТО Александровск</t>
  </si>
  <si>
    <t xml:space="preserve"> Начисление, учет, контроль за правильностью исчисления, полнотой и своевременностью осуществления неналоговых платежей, а также взыскание задолженности по платежам в бюджет по договорам аренды земельных участком и муниципального имущества (сокращение недоимки)</t>
  </si>
  <si>
    <t xml:space="preserve"> Проведение мероприятий по подготовке аукционов, конкурсов, тендеров и т.д. в целях получения дополнительных доходов в местный бюджет</t>
  </si>
  <si>
    <t xml:space="preserve"> Своевременное распределение муниципальных жилых помещений гражданам в ЗАТО Александровск</t>
  </si>
  <si>
    <t xml:space="preserve"> Приобретение жилья, предоставление субсидий и выдача государственных жилищных сертификатов гражданам, выезжающим за пределы ЗАТО Александровск</t>
  </si>
  <si>
    <t xml:space="preserve"> Качественное оформление документов граждан и представителей предприятий и организаций по вопросам получения разрешения на въезд на территорию ЗАТО Александровск</t>
  </si>
  <si>
    <t xml:space="preserve"> Организация регулирования численности безнадзорных животных</t>
  </si>
  <si>
    <t xml:space="preserve"> Содержание автомобильных дорог общего пользования на территории ЗАТО Александровск в соответствии с требованием ГОСТ Р 50597-93</t>
  </si>
  <si>
    <t xml:space="preserve"> Организация работ по проведению кадастровых работ объектов недвижимого имущества, в том числе земельные участки с постановкой объектов на государственный кадастр недвижимости</t>
  </si>
  <si>
    <t xml:space="preserve"> Сбор информации об объекте: акт обследования технического состояния объекта (дефектный акт), составление проекта производства работ, технического состояния объекта, сметы</t>
  </si>
  <si>
    <t xml:space="preserve"> Проведение процедуры размещения аукционной документации на электронной площадке с последующим заключением муниципальных контрактов на выполнение работ в области капитального строительства и капитального ремонта по результатам торгов</t>
  </si>
  <si>
    <t xml:space="preserve"> Своевременный и постоянный контроль за ведением строительства и капитального ремонта, соблюдение норм правил СНиПов, сроков работ, применение качественных материалов, недопущение брака в ремонтных и строительных работах, соблюдение безопасности строительства</t>
  </si>
  <si>
    <t xml:space="preserve"> Ремонт квартир</t>
  </si>
  <si>
    <t xml:space="preserve"> Взносы на обеспечение реализации региональной программы капитального ремонта общего имущества в многоквартирных домах в части нежилых муниципальных помещений</t>
  </si>
  <si>
    <t xml:space="preserve"> Предоставление субсидии на возмещение расходов, связанных с невозможностью взыскания задолженности по безнадежным долгам и за пустующий муниципальный фонд</t>
  </si>
  <si>
    <t xml:space="preserve"> Оплата за содержание, текущий ремонт и коммунальные услуги по пустующему муниципальному жилищному фонду</t>
  </si>
  <si>
    <t xml:space="preserve"> Улучшение качества освещения улиц на территории муниципального образования ЗАТО Александровск</t>
  </si>
  <si>
    <t xml:space="preserve"> Повышение качества организации содержания лестничных сходов, детских площадок, тротуаров, дорожек и дворовых территорий муниципального образования ЗАТО Александровск</t>
  </si>
  <si>
    <t xml:space="preserve"> Улучшение технического состояния и приведение в качественное состояние объектов инфраструктуры и благоустройства на территории ЗАТО Александровск</t>
  </si>
  <si>
    <t xml:space="preserve"> Организация ритуальных услуг и содержание мест захоронения</t>
  </si>
  <si>
    <t xml:space="preserve"> Создание условий и организация обустройства мест массового отдыха населения</t>
  </si>
  <si>
    <t xml:space="preserve"> Организация ограничения доступа в законсервированные дома на территории ЗАТО Александровск</t>
  </si>
  <si>
    <t xml:space="preserve"> Обеспечение эффективной работы объектов жилищно-коммунальной инфраструктуры</t>
  </si>
  <si>
    <t xml:space="preserve"> Нормативно-методическое обеспечение и организация бюджетного процесса в ЗАТО Александровск, осуществление контроля и надзора в финансово-бюджетной сфере</t>
  </si>
  <si>
    <t xml:space="preserve"> Исполнение принятых обязательств по погашению и обслуживанию долговых обязательств ЗАТО Александровск</t>
  </si>
  <si>
    <t xml:space="preserve"> Актуализация нормативных актов ЗАТО Александровск (в пределах своих полномочий), регламентирующих порядок, условия и качество предоставления муниципальных услуг (выполнения работ) подведомственными учреждениями, в соответствии с действующим законодательством Российской Федерации и (или) Мурманской области, контроль за соблюдением законодательства</t>
  </si>
  <si>
    <t xml:space="preserve"> Контроль и диагностика деятельности муниципальных образовательных учреждений по обеспечению выполнения государственных стандартов образования, создания условий для осуществления присмотра и ухода за детьми</t>
  </si>
  <si>
    <t xml:space="preserve"> Учет детей, подлежащих обучению по образовательным программам дошкольного, начального общего, основного общего и среднего общего образования, закрепление муниципальных образовательных организаций за конкретными территориальными образованиями, входящими в состав ЗАТО Александровск</t>
  </si>
  <si>
    <t xml:space="preserve"> Осуществление в установленном порядке сбора, обработки и анализа статистической, финансовой и бухгалтерской отчетности подведомственных муниципальных учреждений, предоставление в соответствующие органы консолидированной статистической, финансовой и бухгалтерской отчетности, обеспечение ее достоверности, контроль деятельности подведомственных учреждений</t>
  </si>
  <si>
    <t xml:space="preserve"> Предоставление социальных гарантий работникам</t>
  </si>
  <si>
    <t xml:space="preserve"> Обеспечение антитеррористической и противокриминальной безопасности учреждений системы образования</t>
  </si>
  <si>
    <t xml:space="preserve"> Предоставление общедоступного бесплатного начального общего образования по основным общеобразовательным программам в образовательных учреждениях</t>
  </si>
  <si>
    <t xml:space="preserve"> Предоставление общедоступного бесплатного основного общего образования по основным общеобразовательным программам в образовательных учреждениях</t>
  </si>
  <si>
    <t xml:space="preserve"> Предоставление общедоступного бесплатного среднего общего образования по основным общеобразовательным программам в образовательных учреждениях</t>
  </si>
  <si>
    <t xml:space="preserve"> 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</t>
  </si>
  <si>
    <t xml:space="preserve"> Предоставление дополнительного образования детям в учреждениях дополнительного образования детей</t>
  </si>
  <si>
    <t xml:space="preserve"> Обеспечение пожарной и электрической безопасности учреждений системы образования</t>
  </si>
  <si>
    <t xml:space="preserve"> Организация отдыха и оздоровления детей в возрасте от 6 до 18 лет</t>
  </si>
  <si>
    <t xml:space="preserve"> Информационно-методическое сопровождение образовательного процесса учреждений системы образования ЗАТО Александровск</t>
  </si>
  <si>
    <t xml:space="preserve"> Комплексное и качественное хозяйственно-эксплуатационное обслуживание учреждений системы образования ЗАТО Александровск</t>
  </si>
  <si>
    <t xml:space="preserve"> Предоставление бесплатного молока обучающимся в 1-4 классах МОУ</t>
  </si>
  <si>
    <t xml:space="preserve"> Предоставление бесплатного питания отдельным категориям обучающихся МОУ</t>
  </si>
  <si>
    <t xml:space="preserve"> Предоставление социальных гарантий работникам МАУО "КШП"</t>
  </si>
  <si>
    <t xml:space="preserve">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</si>
  <si>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 xml:space="preserve"> 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</si>
  <si>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</si>
  <si>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 xml:space="preserve"> Реализация переданных государственных полномочий по опеке и попечительству в отношении несовершеннолетних</t>
  </si>
  <si>
    <t xml:space="preserve"> Выплата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</si>
  <si>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Содержание ребенка в семье опекуна (попечителя) и приемной семье, а также вознаграждение, причитающееся приемному родителю</t>
  </si>
  <si>
    <t>Управление культуры, спорта и молодежной политики администрации ЗАТО Александровск</t>
  </si>
  <si>
    <t xml:space="preserve"> Обеспечение исполнения мероприятий в рамках муниципальных программ управления культуры, спорта и молодежной политики</t>
  </si>
  <si>
    <t xml:space="preserve"> Реализация дополнительных общеразвивающих программ</t>
  </si>
  <si>
    <t xml:space="preserve"> Реализация дополнительных общеобразовательных предпрофессиональных программ в области искусств</t>
  </si>
  <si>
    <t xml:space="preserve"> Организация и проведение мероприятий, направленных на совершенствование культурно-досуговой сферы молодежной среды</t>
  </si>
  <si>
    <t xml:space="preserve"> Обеспечение участия молодежных лидеров и активистов, молодых семей, специалистов в областных, межрегиональных, всероссийских и международных конкурсах, форумах, фестивалях, проектах и других мероприятиях</t>
  </si>
  <si>
    <t xml:space="preserve"> Обеспечение функционирования молодежного сайта ЗАТО Александровск "ZatoRozetka"</t>
  </si>
  <si>
    <t xml:space="preserve"> Выплата премий и стипендий главы администрации ЗАТО Александровск одаренным детям и учащейся молодежи</t>
  </si>
  <si>
    <t xml:space="preserve"> 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</si>
  <si>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 xml:space="preserve"> 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потенциала подростков и молодежи</t>
  </si>
  <si>
    <t xml:space="preserve"> Организация и проведение культурно-массовых мероприятий в соответствии с годовым планом</t>
  </si>
  <si>
    <t xml:space="preserve"> Организация деятельности клубных формирований и формирований самодеятельного народного творчества</t>
  </si>
  <si>
    <t xml:space="preserve"> Библиотечное, библиографическое и информационное обслуживание пользователей библиотеки</t>
  </si>
  <si>
    <t xml:space="preserve"> Формирование, учет, изучение, обеспечение физического сохранения и безопасности фондов библиотек, включая оцифровку фонда</t>
  </si>
  <si>
    <t xml:space="preserve"> Библиографическая обработка документов и создание каталогов</t>
  </si>
  <si>
    <t xml:space="preserve"> Организация и проведение культурно-массовых мероприятий</t>
  </si>
  <si>
    <t xml:space="preserve"> Формирование, учет, изучение, обеспечение физического сохранения и безопасности музейных предметов, музейных коллекций</t>
  </si>
  <si>
    <t xml:space="preserve"> Публичный показ музейных предметов, музейных коллекций</t>
  </si>
  <si>
    <t xml:space="preserve"> Создание экспозиций (выставок) музеев, организация выездных выставок</t>
  </si>
  <si>
    <t xml:space="preserve"> 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</si>
  <si>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 xml:space="preserve"> Организация проведения официальных физкультурно-оздоровительных и спортивных мероприятий ЗАТО Александровск</t>
  </si>
  <si>
    <t xml:space="preserve"> Организация участия команд и делегаций спортсменов ЗАТО Александровск в чемпионатах, первенствах, кубках на межрегиональных, областных соревнованиях по различным видам</t>
  </si>
  <si>
    <t>контрольно-счетная палата муниципального образования ЗАТО Александровск Мурманской области</t>
  </si>
  <si>
    <t xml:space="preserve">                                             Приложение № 7</t>
  </si>
  <si>
    <t>Ведомственная структура расходов местного бюджета ЗАТО Александровск по главным распорядителям бюджетных средств, разделам, подразделам, целевым статьям (муниципальным программам ЗАТО Александровск и непрограммным направлениям деятельности), группам видов расходов классификации расходов местного бюджета ЗАТО Александровск на 2017 год</t>
  </si>
  <si>
    <t xml:space="preserve">Раздел </t>
  </si>
  <si>
    <t>Под-раздел</t>
  </si>
  <si>
    <t>Вид расхо-дов</t>
  </si>
  <si>
    <t xml:space="preserve"> Содержание и эксплуатация установленного оборудования АПК "Безопасный город"</t>
  </si>
  <si>
    <t xml:space="preserve"> Разработка проектно-сметной документации на создание АПК "Безопасный город"</t>
  </si>
  <si>
    <t xml:space="preserve"> Оказание поддержки добровольным общественным объединениям правоохранительной направленности и народным дружинам (приобретение отличительной символики, страхование народных дружинников)</t>
  </si>
  <si>
    <t xml:space="preserve"> Мероприятия по созданию, развитию и организации эксплуатации системы обеспечения вызова экстренных оперативных служб по единому номеру "112"</t>
  </si>
  <si>
    <t xml:space="preserve"> Приобретение автобусов</t>
  </si>
  <si>
    <t>Капитальные вложения в объекты государственной (муниципальной) собственности</t>
  </si>
  <si>
    <t xml:space="preserve"> Оснащение участков улично-дорожной сети ЗАТО Александровск пешеходными ограждениями, в том числе в зоне пешеходных переходов</t>
  </si>
  <si>
    <t xml:space="preserve"> Модернизация нерегулируемых пешеходных переходов, в том числе непосредственно прилегающих к дошкольным образовательным организациям, общеобразовательным организациями и организациям дополнительного образования, средствами освещения, искусственными дорожными неровностями, светофорами Т.7, системами светового оповещения, дорожными знаками с внутренним освещением и светодиодной индексацией, Г-образными опорами, дорожной разметкой, в т.ч. с применением штучных форм и цветовых дорожных покрытий, световозвращателями и индикаторами, а также устройствами дополнительного освещения и другими элементами повышения БДД</t>
  </si>
  <si>
    <t xml:space="preserve"> Ремонт автомобильных дорог общего пользования и междомовых проездов ЗАТО Александровск</t>
  </si>
  <si>
    <t xml:space="preserve"> Утверждение нормативов финансовых затрат на содержание автомобильных дорог общего пользования местного значения ЗАТО Александровск</t>
  </si>
  <si>
    <t xml:space="preserve"> Капитальный ремонт сетей водоотведения</t>
  </si>
  <si>
    <t xml:space="preserve"> Капитальный ремонт сетей теплоснабжения</t>
  </si>
  <si>
    <t xml:space="preserve"> Строительство детского сада на 300 мест в г.Гаджиево</t>
  </si>
  <si>
    <t xml:space="preserve"> Обеспечение благоустройства территории ОУ</t>
  </si>
  <si>
    <t>Субсидия на организацию отдыха детей Мурманской области в муниципальных образовательных организациях</t>
  </si>
  <si>
    <t xml:space="preserve"> Адаптация муниципальных учреждений культуры (устройство пандусов, поручней, установка кнопок вызова, капитальный ремонт помещений для беспрепятственного доступа)</t>
  </si>
  <si>
    <t>рубли</t>
  </si>
  <si>
    <t xml:space="preserve">  Муниципальная программа ЗАТО Александровск "Обеспечение комфортной среды проживания населения муниципального образования" на 2014 - 2020 годы</t>
  </si>
  <si>
    <t>Приложение № 9</t>
  </si>
  <si>
    <t>Распределение бюджетных ассигнований местного бюджета ЗАТО Александровск на реализацию муниципальных  программ ЗАТО Александровск на 2017 год и на плановый период 2018 и 2019 годов</t>
  </si>
  <si>
    <t>Код ведомства</t>
  </si>
  <si>
    <t xml:space="preserve"> </t>
  </si>
  <si>
    <t>Расходы на выплаты персоналу  в целях обеспечения выполнения функций госдарственными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</si>
  <si>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Муниципальная программа ЗАТО Александровск "Эффективное муниципальное управление"на 2014 - 2020 годы</t>
  </si>
  <si>
    <t xml:space="preserve">  Муниципальная программа ЗАТО Александровск "Эффективное управление муниципальными финансами и оптимизация муниципального долга ЗАТО Александровск" на 2014 - 2020 годы</t>
  </si>
  <si>
    <t xml:space="preserve">  Муниципальная программа ЗАТО Александровск "Информационное общество" на 2014 - 2020 годы</t>
  </si>
  <si>
    <t xml:space="preserve">  Муниципальная программа "Обеспечение комплексной безопасности населения ЗАТО Александровск"на 2014 - 2020 годы</t>
  </si>
  <si>
    <t xml:space="preserve">  Муниципальная программа ЗАТО Александровск "Развитие культуры и сохранение культурного наследия"на 2014 - 2020 годы</t>
  </si>
  <si>
    <t xml:space="preserve">  Муниципальная программа ЗАТО Александровск "Развитие физической культуры, спорта и молодежной политики"на 2014 - 2020 годы</t>
  </si>
  <si>
    <t xml:space="preserve">  Муниципальная программа "Повышение качества жизни отдельных категорий граждан ЗАТО Александровск"на 2014 - 2020 годы</t>
  </si>
  <si>
    <t>Субсидия на организацию отдыха детей  Мурманской области в  муниципальных образовательных организациях</t>
  </si>
  <si>
    <t>Вид расхода</t>
  </si>
  <si>
    <t>Приложение № 8</t>
  </si>
  <si>
    <t>Капитальные вложения в объекты  государственной (муниципальной) собственности</t>
  </si>
  <si>
    <t xml:space="preserve">  Непрограммная деятельность</t>
  </si>
  <si>
    <t xml:space="preserve">  Муниципальная программа "Развитие инвестиционной деятельности муниципального образования ЗАТО Александровск" на 2014 - 2020 годы</t>
  </si>
  <si>
    <t xml:space="preserve">  Муниципальная программа ЗАТО Александровск "Энергоэффективность и развитие энергетики" на 2014 - 2020 годы</t>
  </si>
  <si>
    <t xml:space="preserve">  Муниципальная программа "Развитие транспортной системы ЗАТО Александровск" на 2014 - 2020 годы</t>
  </si>
  <si>
    <t xml:space="preserve">  Муниципальная программа ЗАТО Александровск "Развитие образования"на 2014 - 2020 годы</t>
  </si>
  <si>
    <t xml:space="preserve">Сумма </t>
  </si>
  <si>
    <t>Распределение бюджетных ассигнований по целевым статьям (муниципальным программам ЗАТО Александровск и непрограммным направлениям деятельности), группам видов расходов, разделам, подразделам классификации расходов местного бюджета ЗАТО Александровск на 2017 год</t>
  </si>
  <si>
    <t>от 14.12.2016 № 98</t>
  </si>
  <si>
    <t xml:space="preserve">Выплаты по решениям судов и оплата государственной пошлины </t>
  </si>
  <si>
    <t>70711S1070</t>
  </si>
  <si>
    <t>7071171070</t>
  </si>
  <si>
    <t>Разработка программы комплексного развития транспортной инфраструктуры МО ЗАТО Александровск Мурманской области</t>
  </si>
  <si>
    <t>7701300000</t>
  </si>
  <si>
    <t>7701329990</t>
  </si>
  <si>
    <t>Выполнение работ по разработке карт (планов) объектов землеустройства для внесения в ЕГКН сведений по описанию местоположения границ населенных пунктов, границ территориальных зон, определенных Правилами землепользования и застройки, Генеральным планом муниципального образования ЗАТО Александровск</t>
  </si>
  <si>
    <t>8221700000</t>
  </si>
  <si>
    <t>8221720150</t>
  </si>
  <si>
    <t>Корректировка (актуализация) схемы  теплоснабжения в границах муниципального образования ЗАТО Александровск</t>
  </si>
  <si>
    <t>7422200000</t>
  </si>
  <si>
    <t>7422229990</t>
  </si>
  <si>
    <t>Оплата административных штрафов</t>
  </si>
  <si>
    <t>9900020160</t>
  </si>
  <si>
    <t>7082220090</t>
  </si>
  <si>
    <t>8111106030</t>
  </si>
  <si>
    <t>Обеспечение проведения выборов и референдумов</t>
  </si>
  <si>
    <t>Проведение выборов в представительный орган местного самоуправления</t>
  </si>
  <si>
    <t>9900005100</t>
  </si>
  <si>
    <t>Установка индивидуальных приборов учета коммунальных услуг в муниципальном жилищном фонде</t>
  </si>
  <si>
    <t>7802100000</t>
  </si>
  <si>
    <t>7802129990</t>
  </si>
  <si>
    <t>Реализация мероприятий по энергосбережению и повышению энергетической эффективности требований к использованию и сохранности муниципального жилищного фонда</t>
  </si>
  <si>
    <t>7802200000</t>
  </si>
  <si>
    <t>7802229990</t>
  </si>
  <si>
    <t>Формирование современной городской среды ЗАТО Александровск</t>
  </si>
  <si>
    <t>7441500000</t>
  </si>
  <si>
    <t>7441520090</t>
  </si>
  <si>
    <t>7441529990</t>
  </si>
  <si>
    <t>Создание условий безопасной среды для проживания в ЗАТО Александровск</t>
  </si>
  <si>
    <t>7442400000</t>
  </si>
  <si>
    <t>7442429990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</si>
  <si>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</si>
  <si>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73223L5190</t>
  </si>
  <si>
    <t>73223R5190</t>
  </si>
  <si>
    <t>Приобретение, монтаж и сопряжение с МАСЦО ЗАТО Александровск блоков перехвата теле-радио вещания</t>
  </si>
  <si>
    <t>7531800000</t>
  </si>
  <si>
    <t>7531829990</t>
  </si>
  <si>
    <t>Субсидии на поддержку муниципальных программ формирования современной городской среды</t>
  </si>
  <si>
    <t>74415R5550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</si>
  <si>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</si>
  <si>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7701170930</t>
  </si>
  <si>
    <t>77011S0930</t>
  </si>
  <si>
    <t>74131S0850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</si>
  <si>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</si>
  <si>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>7413170850</t>
  </si>
  <si>
    <t>Приобретение, установка, поверка, ремонт и замена приборов учета тепла, воды и электроэнергии</t>
  </si>
  <si>
    <t>7801500000</t>
  </si>
  <si>
    <t>7801529990</t>
  </si>
  <si>
    <t>Оплата за содержание и коммунальные услуги по жилому и нежилому муниципальному  фонду</t>
  </si>
  <si>
    <t>7432300000</t>
  </si>
  <si>
    <t>7432329990</t>
  </si>
  <si>
    <t>74415L5550</t>
  </si>
  <si>
    <t>8262213060</t>
  </si>
  <si>
    <t>Выполнение работ по разработке проекта внесения изменений в Правила землепользования и застройки  муниципального образования ЗАТО Александровск Мурманской области</t>
  </si>
  <si>
    <t>8221800000</t>
  </si>
  <si>
    <t>8221820150</t>
  </si>
  <si>
    <t>Охрана окружающей среды</t>
  </si>
  <si>
    <t>Охрана объектов растительного и животного мира и среды их обитания</t>
  </si>
  <si>
    <t>Организация сбора твердых бытовых отходов и крупногабаритного мусора с территорий несанкционированных свалок</t>
  </si>
  <si>
    <t>Муниципальная программа ЗАТО Александровск "Охрана окружающей среды" на 2014 - 2020 годы</t>
  </si>
  <si>
    <t>7600000000</t>
  </si>
  <si>
    <t>7601200000</t>
  </si>
  <si>
    <t>7601229990</t>
  </si>
  <si>
    <t xml:space="preserve">Социальное обеспечение и иные выплаты населению
</t>
  </si>
  <si>
    <t>Субсидия на поддержку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</si>
  <si>
    <t>73131R5190</t>
  </si>
  <si>
    <t>программная</t>
  </si>
  <si>
    <t>Резервные фонды</t>
  </si>
  <si>
    <t>Расходы на обеспечение функций главы муниципального образования</t>
  </si>
  <si>
    <t>9900001030</t>
  </si>
  <si>
    <t>7082229990</t>
  </si>
  <si>
    <t>админ</t>
  </si>
  <si>
    <t>Подпрограмма 3 "Совершенствование организационной системы бухгалтерского (бюджетного) учета и формирования бухгалтерской (бюджетной) отчетности муниципальных учреждений"</t>
  </si>
  <si>
    <t>8130000000</t>
  </si>
  <si>
    <t>Организация и ведение бухгалтерского (бюджетного) учета и формирования бухгалтерской (бюджетной) отчетности муниципальных учреждений ЗАТО Александровск специализированной организацией</t>
  </si>
  <si>
    <t>8131100000</t>
  </si>
  <si>
    <t>8131100020</t>
  </si>
  <si>
    <t>Оснащение мест проведения публичных и иных мероприятий досмотровым оборудованием и ограждениями для огранинения доступа на территории ЗАТО Александровск</t>
  </si>
  <si>
    <t>7511800000</t>
  </si>
  <si>
    <t>7511829990</t>
  </si>
  <si>
    <t>7441329990</t>
  </si>
  <si>
    <t xml:space="preserve">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и общеобразовательных учреждениях </t>
  </si>
  <si>
    <t xml:space="preserve"> Создание условий для осуществления присмотра и ухода за детьми, содержания детей в муниципальных дошкольных образовательных и общеобразовательных учреждениях</t>
  </si>
  <si>
    <t>Организация мер по предоставлению и выплате компенсации части родительской платы за присмотр и уход за ребенком в муниципальных дошкольных образовательных и общеобразовательных учреждениях</t>
  </si>
  <si>
    <t>Выплата компенсации части родительской платы за присмотр и уход за ребенком в муниципальных дошкольных образовательных и общеобразовательных учреждениях</t>
  </si>
  <si>
    <t xml:space="preserve">  Создание условий для осуществления присмотра и ухода за детьми, содержания детей в муниципальных дошкольных образовательных и общеобразовательных учреждениях</t>
  </si>
  <si>
    <t xml:space="preserve"> Организация мер по предоставлению и выплате компенсации части родительской платы за присмотр и уход за ребенком в муниципальных дошкольных образовательных и общеобразовательных учреждениях</t>
  </si>
  <si>
    <t>Создание условий для осуществления присмотра и ухода за детьми, содержания детей в муниципальных дошкольных образовательных и общеобразовательных учреждениях</t>
  </si>
  <si>
    <t>Приобретение подарков на елку для одаренных детей</t>
  </si>
  <si>
    <t>7061600000</t>
  </si>
  <si>
    <t>7061600020</t>
  </si>
  <si>
    <t xml:space="preserve">                                             Приложение № 5</t>
  </si>
  <si>
    <t xml:space="preserve">Источники финансирования </t>
  </si>
  <si>
    <t>дефицита местного бюджета ЗАТО Александровск на 2017 год</t>
  </si>
  <si>
    <t xml:space="preserve">рублей </t>
  </si>
  <si>
    <t>№№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</si>
  <si>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</si>
  <si>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Код бюджетной классификации</t>
  </si>
  <si>
    <t>Кредиты кредитных организаций в валюте Российской Федерации</t>
  </si>
  <si>
    <t>0000</t>
  </si>
  <si>
    <t>1.1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</si>
  <si>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</si>
  <si>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</si>
  <si>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710</t>
  </si>
  <si>
    <t>1.2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</si>
  <si>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</si>
  <si>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</si>
  <si>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810</t>
  </si>
  <si>
    <t>остаток на 01.01.2017</t>
  </si>
  <si>
    <t>Бюджетные кредиты от других бюджетов бюджетной системы Российской Федерации</t>
  </si>
  <si>
    <t>2.1</t>
  </si>
  <si>
    <t>Бюджетные кредиты от других бюджетов бюджетной системы Российской Федерации в валюте Российской Федерации</t>
  </si>
  <si>
    <t>2.1.1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</si>
  <si>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</si>
  <si>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</si>
  <si>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2.1.2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</si>
  <si>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</si>
  <si>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</si>
  <si>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</si>
  <si>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3.1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</si>
  <si>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</si>
  <si>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</si>
  <si>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</si>
  <si>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</si>
  <si>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</si>
  <si>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3</t>
  </si>
  <si>
    <t>Изменение остатков средств на счетах по учету средств бюджетов</t>
  </si>
  <si>
    <t>нецелевые</t>
  </si>
  <si>
    <t>Увеличение остатков средств бюджетов</t>
  </si>
  <si>
    <t>500</t>
  </si>
  <si>
    <t>целевые</t>
  </si>
  <si>
    <t>Увеличение прочих остатков средств бюджетов</t>
  </si>
  <si>
    <t>Увеличение прочих остатков денежных средств бюджетов</t>
  </si>
  <si>
    <t>510</t>
  </si>
  <si>
    <t>Увеличение прочих остатков денежных средств бюджетов городских округов</t>
  </si>
  <si>
    <t>3.2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</si>
  <si>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</si>
  <si>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</si>
  <si>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</si>
  <si>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</si>
  <si>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</si>
  <si>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</si>
  <si>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</si>
  <si>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</si>
  <si>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ИТОГО ИСТОЧНИКИ ВНУТРЕННЕГО ФИНАНСИРОВАНИЯ ДЕФИЦИТОВ БЮДЖЕТОВ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</si>
</sst>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8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sz val="12"/>
      <name val="Times New Roman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Calibri"/>
      <family val="2"/>
    </font>
    <font>
      <sz val="12"/>
      <color indexed="10"/>
      <name val="Times New Roman Cyr"/>
      <family val="1"/>
    </font>
    <font>
      <b/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sz val="12"/>
      <color rgb="FFFF0000"/>
      <name val="Times New Roman Cyr"/>
      <family val="1"/>
    </font>
    <font>
      <b/>
      <sz val="12"/>
      <color rgb="FFFF0000"/>
      <name val="Times New Roman Cyr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5" fillId="25" borderId="0" applyNumberFormat="0" applyBorder="0" applyAlignment="0" applyProtection="0"/>
    <xf numFmtId="0" fontId="40" fillId="26" borderId="0" applyNumberFormat="0" applyBorder="0" applyAlignment="0" applyProtection="0"/>
    <xf numFmtId="0" fontId="5" fillId="17" borderId="0" applyNumberFormat="0" applyBorder="0" applyAlignment="0" applyProtection="0"/>
    <xf numFmtId="0" fontId="40" fillId="27" borderId="0" applyNumberFormat="0" applyBorder="0" applyAlignment="0" applyProtection="0"/>
    <xf numFmtId="0" fontId="5" fillId="19" borderId="0" applyNumberFormat="0" applyBorder="0" applyAlignment="0" applyProtection="0"/>
    <xf numFmtId="0" fontId="40" fillId="28" borderId="0" applyNumberFormat="0" applyBorder="0" applyAlignment="0" applyProtection="0"/>
    <xf numFmtId="0" fontId="5" fillId="29" borderId="0" applyNumberFormat="0" applyBorder="0" applyAlignment="0" applyProtection="0"/>
    <xf numFmtId="0" fontId="40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34" borderId="0">
      <alignment/>
      <protection/>
    </xf>
    <xf numFmtId="0" fontId="42" fillId="0" borderId="0">
      <alignment horizontal="center"/>
      <protection/>
    </xf>
    <xf numFmtId="0" fontId="41" fillId="0" borderId="0">
      <alignment horizontal="right"/>
      <protection/>
    </xf>
    <xf numFmtId="0" fontId="41" fillId="34" borderId="1">
      <alignment/>
      <protection/>
    </xf>
    <xf numFmtId="0" fontId="41" fillId="0" borderId="2">
      <alignment horizontal="center" vertical="center" wrapText="1"/>
      <protection/>
    </xf>
    <xf numFmtId="0" fontId="41" fillId="34" borderId="3">
      <alignment/>
      <protection/>
    </xf>
    <xf numFmtId="0" fontId="41" fillId="34" borderId="0">
      <alignment shrinkToFit="1"/>
      <protection/>
    </xf>
    <xf numFmtId="0" fontId="43" fillId="0" borderId="3">
      <alignment horizontal="right"/>
      <protection/>
    </xf>
    <xf numFmtId="4" fontId="43" fillId="35" borderId="3">
      <alignment horizontal="right" vertical="top" shrinkToFit="1"/>
      <protection/>
    </xf>
    <xf numFmtId="4" fontId="43" fillId="36" borderId="3">
      <alignment horizontal="right" vertical="top" shrinkToFit="1"/>
      <protection/>
    </xf>
    <xf numFmtId="0" fontId="41" fillId="0" borderId="0">
      <alignment/>
      <protection/>
    </xf>
    <xf numFmtId="0" fontId="41" fillId="0" borderId="0">
      <alignment horizontal="left" wrapText="1"/>
      <protection/>
    </xf>
    <xf numFmtId="0" fontId="43" fillId="0" borderId="2">
      <alignment vertical="top" wrapText="1"/>
      <protection/>
    </xf>
    <xf numFmtId="49" fontId="41" fillId="0" borderId="2">
      <alignment horizontal="center" vertical="top" shrinkToFit="1"/>
      <protection/>
    </xf>
    <xf numFmtId="4" fontId="43" fillId="35" borderId="2">
      <alignment horizontal="right" vertical="top" shrinkToFit="1"/>
      <protection/>
    </xf>
    <xf numFmtId="4" fontId="43" fillId="36" borderId="2">
      <alignment horizontal="right" vertical="top" shrinkToFit="1"/>
      <protection/>
    </xf>
    <xf numFmtId="0" fontId="41" fillId="34" borderId="4">
      <alignment/>
      <protection/>
    </xf>
    <xf numFmtId="0" fontId="41" fillId="34" borderId="4">
      <alignment horizontal="center"/>
      <protection/>
    </xf>
    <xf numFmtId="4" fontId="43" fillId="0" borderId="2">
      <alignment horizontal="right" vertical="top" shrinkToFit="1"/>
      <protection/>
    </xf>
    <xf numFmtId="49" fontId="41" fillId="0" borderId="2">
      <alignment vertical="top" wrapText="1"/>
      <protection/>
    </xf>
    <xf numFmtId="4" fontId="41" fillId="0" borderId="2">
      <alignment horizontal="right" vertical="top" shrinkToFit="1"/>
      <protection/>
    </xf>
    <xf numFmtId="0" fontId="41" fillId="34" borderId="4">
      <alignment shrinkToFit="1"/>
      <protection/>
    </xf>
    <xf numFmtId="0" fontId="41" fillId="34" borderId="3">
      <alignment horizontal="center"/>
      <protection/>
    </xf>
    <xf numFmtId="0" fontId="41" fillId="34" borderId="3">
      <alignment horizontal="center"/>
      <protection/>
    </xf>
    <xf numFmtId="0" fontId="40" fillId="37" borderId="0" applyNumberFormat="0" applyBorder="0" applyAlignment="0" applyProtection="0"/>
    <xf numFmtId="0" fontId="5" fillId="38" borderId="0" applyNumberFormat="0" applyBorder="0" applyAlignment="0" applyProtection="0"/>
    <xf numFmtId="0" fontId="40" fillId="39" borderId="0" applyNumberFormat="0" applyBorder="0" applyAlignment="0" applyProtection="0"/>
    <xf numFmtId="0" fontId="5" fillId="40" borderId="0" applyNumberFormat="0" applyBorder="0" applyAlignment="0" applyProtection="0"/>
    <xf numFmtId="0" fontId="40" fillId="41" borderId="0" applyNumberFormat="0" applyBorder="0" applyAlignment="0" applyProtection="0"/>
    <xf numFmtId="0" fontId="5" fillId="42" borderId="0" applyNumberFormat="0" applyBorder="0" applyAlignment="0" applyProtection="0"/>
    <xf numFmtId="0" fontId="40" fillId="43" borderId="0" applyNumberFormat="0" applyBorder="0" applyAlignment="0" applyProtection="0"/>
    <xf numFmtId="0" fontId="5" fillId="29" borderId="0" applyNumberFormat="0" applyBorder="0" applyAlignment="0" applyProtection="0"/>
    <xf numFmtId="0" fontId="40" fillId="44" borderId="0" applyNumberFormat="0" applyBorder="0" applyAlignment="0" applyProtection="0"/>
    <xf numFmtId="0" fontId="5" fillId="31" borderId="0" applyNumberFormat="0" applyBorder="0" applyAlignment="0" applyProtection="0"/>
    <xf numFmtId="0" fontId="40" fillId="45" borderId="0" applyNumberFormat="0" applyBorder="0" applyAlignment="0" applyProtection="0"/>
    <xf numFmtId="0" fontId="5" fillId="46" borderId="0" applyNumberFormat="0" applyBorder="0" applyAlignment="0" applyProtection="0"/>
    <xf numFmtId="0" fontId="44" fillId="47" borderId="5" applyNumberFormat="0" applyAlignment="0" applyProtection="0"/>
    <xf numFmtId="0" fontId="6" fillId="13" borderId="6" applyNumberFormat="0" applyAlignment="0" applyProtection="0"/>
    <xf numFmtId="0" fontId="45" fillId="48" borderId="7" applyNumberFormat="0" applyAlignment="0" applyProtection="0"/>
    <xf numFmtId="0" fontId="7" fillId="49" borderId="8" applyNumberFormat="0" applyAlignment="0" applyProtection="0"/>
    <xf numFmtId="0" fontId="46" fillId="48" borderId="5" applyNumberFormat="0" applyAlignment="0" applyProtection="0"/>
    <xf numFmtId="0" fontId="8" fillId="49" borderId="6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9" fillId="0" borderId="10" applyNumberFormat="0" applyFill="0" applyAlignment="0" applyProtection="0"/>
    <xf numFmtId="0" fontId="49" fillId="0" borderId="11" applyNumberFormat="0" applyFill="0" applyAlignment="0" applyProtection="0"/>
    <xf numFmtId="0" fontId="10" fillId="0" borderId="12" applyNumberFormat="0" applyFill="0" applyAlignment="0" applyProtection="0"/>
    <xf numFmtId="0" fontId="50" fillId="0" borderId="13" applyNumberFormat="0" applyFill="0" applyAlignment="0" applyProtection="0"/>
    <xf numFmtId="0" fontId="11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12" fillId="0" borderId="16" applyNumberFormat="0" applyFill="0" applyAlignment="0" applyProtection="0"/>
    <xf numFmtId="0" fontId="52" fillId="50" borderId="17" applyNumberFormat="0" applyAlignment="0" applyProtection="0"/>
    <xf numFmtId="0" fontId="13" fillId="51" borderId="18" applyNumberFormat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52" borderId="0" applyNumberFormat="0" applyBorder="0" applyAlignment="0" applyProtection="0"/>
    <xf numFmtId="0" fontId="15" fillId="5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54" borderId="0" applyNumberFormat="0" applyBorder="0" applyAlignment="0" applyProtection="0"/>
    <xf numFmtId="0" fontId="16" fillId="5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5" borderId="19" applyNumberFormat="0" applyFont="0" applyAlignment="0" applyProtection="0"/>
    <xf numFmtId="0" fontId="2" fillId="56" borderId="20" applyNumberFormat="0" applyFont="0" applyAlignment="0" applyProtection="0"/>
    <xf numFmtId="9" fontId="0" fillId="0" borderId="0" applyFont="0" applyFill="0" applyBorder="0" applyAlignment="0" applyProtection="0"/>
    <xf numFmtId="0" fontId="58" fillId="0" borderId="21" applyNumberFormat="0" applyFill="0" applyAlignment="0" applyProtection="0"/>
    <xf numFmtId="0" fontId="18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57" borderId="0" applyNumberFormat="0" applyBorder="0" applyAlignment="0" applyProtection="0"/>
    <xf numFmtId="0" fontId="20" fillId="7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4" fontId="61" fillId="0" borderId="2" xfId="71" applyNumberFormat="1" applyFont="1" applyFill="1" applyProtection="1">
      <alignment horizontal="right" vertical="top" shrinkToFit="1"/>
      <protection/>
    </xf>
    <xf numFmtId="4" fontId="62" fillId="0" borderId="2" xfId="71" applyNumberFormat="1" applyFont="1" applyFill="1" applyProtection="1">
      <alignment horizontal="right" vertical="top" shrinkToFit="1"/>
      <protection/>
    </xf>
    <xf numFmtId="4" fontId="61" fillId="0" borderId="23" xfId="66" applyNumberFormat="1" applyFont="1" applyFill="1" applyBorder="1" applyAlignment="1" applyProtection="1">
      <alignment horizontal="right" shrinkToFit="1"/>
      <protection/>
    </xf>
    <xf numFmtId="0" fontId="3" fillId="0" borderId="0" xfId="117" applyFont="1" applyFill="1" applyProtection="1">
      <alignment/>
      <protection locked="0"/>
    </xf>
    <xf numFmtId="0" fontId="62" fillId="0" borderId="2" xfId="62" applyNumberFormat="1" applyFont="1" applyFill="1" applyBorder="1" applyAlignment="1" applyProtection="1">
      <alignment horizontal="center" vertical="center" wrapText="1"/>
      <protection/>
    </xf>
    <xf numFmtId="0" fontId="62" fillId="0" borderId="2" xfId="60" applyNumberFormat="1" applyFont="1" applyProtection="1">
      <alignment horizontal="center" vertical="center" wrapText="1"/>
      <protection/>
    </xf>
    <xf numFmtId="49" fontId="62" fillId="0" borderId="2" xfId="69" applyNumberFormat="1" applyFont="1" applyProtection="1">
      <alignment horizontal="center" vertical="top" shrinkToFit="1"/>
      <protection/>
    </xf>
    <xf numFmtId="0" fontId="62" fillId="0" borderId="0" xfId="66" applyNumberFormat="1" applyFont="1" applyProtection="1">
      <alignment/>
      <protection/>
    </xf>
    <xf numFmtId="0" fontId="62" fillId="0" borderId="2" xfId="68" applyNumberFormat="1" applyFont="1" applyProtection="1">
      <alignment vertical="top" wrapText="1"/>
      <protection/>
    </xf>
    <xf numFmtId="0" fontId="3" fillId="0" borderId="0" xfId="0" applyFont="1" applyFill="1" applyAlignment="1" applyProtection="1">
      <alignment/>
      <protection locked="0"/>
    </xf>
    <xf numFmtId="0" fontId="62" fillId="0" borderId="2" xfId="60" applyNumberFormat="1" applyFont="1" applyFill="1" applyProtection="1">
      <alignment horizontal="center" vertical="center" wrapText="1"/>
      <protection/>
    </xf>
    <xf numFmtId="4" fontId="61" fillId="0" borderId="2" xfId="70" applyNumberFormat="1" applyFont="1" applyFill="1" applyProtection="1">
      <alignment horizontal="right" vertical="top" shrinkToFit="1"/>
      <protection/>
    </xf>
    <xf numFmtId="4" fontId="62" fillId="0" borderId="2" xfId="70" applyNumberFormat="1" applyFont="1" applyFill="1" applyProtection="1">
      <alignment horizontal="right" vertical="top" shrinkToFit="1"/>
      <protection/>
    </xf>
    <xf numFmtId="0" fontId="62" fillId="0" borderId="0" xfId="66" applyNumberFormat="1" applyFont="1" applyFill="1" applyProtection="1">
      <alignment/>
      <protection/>
    </xf>
    <xf numFmtId="4" fontId="62" fillId="0" borderId="24" xfId="70" applyNumberFormat="1" applyFont="1" applyFill="1" applyBorder="1" applyProtection="1">
      <alignment horizontal="right" vertical="top" shrinkToFit="1"/>
      <protection/>
    </xf>
    <xf numFmtId="4" fontId="62" fillId="0" borderId="25" xfId="70" applyNumberFormat="1" applyFont="1" applyFill="1" applyBorder="1" applyProtection="1">
      <alignment horizontal="right" vertical="top" shrinkToFit="1"/>
      <protection/>
    </xf>
    <xf numFmtId="0" fontId="3" fillId="0" borderId="23" xfId="117" applyFont="1" applyFill="1" applyBorder="1" applyProtection="1">
      <alignment/>
      <protection locked="0"/>
    </xf>
    <xf numFmtId="4" fontId="62" fillId="0" borderId="23" xfId="70" applyNumberFormat="1" applyFont="1" applyFill="1" applyBorder="1" applyProtection="1">
      <alignment horizontal="right" vertical="top" shrinkToFit="1"/>
      <protection/>
    </xf>
    <xf numFmtId="0" fontId="62" fillId="0" borderId="2" xfId="68" applyNumberFormat="1" applyFont="1" applyFill="1" applyProtection="1">
      <alignment vertical="top" wrapText="1"/>
      <protection/>
    </xf>
    <xf numFmtId="49" fontId="62" fillId="0" borderId="2" xfId="69" applyNumberFormat="1" applyFont="1" applyFill="1" applyProtection="1">
      <alignment horizontal="center" vertical="top" shrinkToFit="1"/>
      <protection/>
    </xf>
    <xf numFmtId="0" fontId="0" fillId="0" borderId="0" xfId="0" applyFill="1" applyAlignment="1" applyProtection="1">
      <alignment/>
      <protection locked="0"/>
    </xf>
    <xf numFmtId="0" fontId="3" fillId="0" borderId="0" xfId="118" applyFont="1" applyFill="1" applyAlignment="1">
      <alignment/>
      <protection/>
    </xf>
    <xf numFmtId="0" fontId="3" fillId="0" borderId="0" xfId="118" applyFont="1" applyFill="1" applyAlignment="1">
      <alignment horizontal="right"/>
      <protection/>
    </xf>
    <xf numFmtId="0" fontId="2" fillId="0" borderId="0" xfId="118" applyFill="1" applyAlignment="1">
      <alignment horizontal="right"/>
      <protection/>
    </xf>
    <xf numFmtId="0" fontId="62" fillId="0" borderId="0" xfId="60" applyNumberFormat="1" applyFont="1" applyFill="1" applyBorder="1" applyAlignment="1" applyProtection="1">
      <alignment horizontal="right" wrapText="1"/>
      <protection/>
    </xf>
    <xf numFmtId="0" fontId="62" fillId="0" borderId="0" xfId="60" applyFont="1" applyFill="1" applyBorder="1" applyAlignment="1">
      <alignment wrapText="1"/>
      <protection/>
    </xf>
    <xf numFmtId="0" fontId="62" fillId="0" borderId="0" xfId="60" applyFont="1" applyFill="1" applyBorder="1" applyAlignment="1">
      <alignment horizontal="right" wrapText="1"/>
      <protection/>
    </xf>
    <xf numFmtId="0" fontId="3" fillId="0" borderId="0" xfId="117" applyFont="1" applyFill="1" applyAlignment="1" applyProtection="1">
      <alignment wrapText="1"/>
      <protection locked="0"/>
    </xf>
    <xf numFmtId="0" fontId="62" fillId="0" borderId="1" xfId="58" applyNumberFormat="1" applyFont="1" applyFill="1" applyBorder="1" applyAlignment="1" applyProtection="1">
      <alignment wrapText="1"/>
      <protection/>
    </xf>
    <xf numFmtId="0" fontId="62" fillId="0" borderId="1" xfId="58" applyFont="1" applyFill="1" applyBorder="1" applyAlignment="1" applyProtection="1">
      <alignment wrapText="1"/>
      <protection locked="0"/>
    </xf>
    <xf numFmtId="0" fontId="3" fillId="0" borderId="2" xfId="62" applyNumberFormat="1" applyFont="1" applyFill="1" applyBorder="1" applyAlignment="1" applyProtection="1">
      <alignment horizontal="center" vertical="center" wrapText="1"/>
      <protection/>
    </xf>
    <xf numFmtId="0" fontId="61" fillId="0" borderId="2" xfId="68" applyNumberFormat="1" applyFont="1" applyFill="1" applyAlignment="1" applyProtection="1">
      <alignment vertical="top" wrapText="1"/>
      <protection/>
    </xf>
    <xf numFmtId="49" fontId="61" fillId="0" borderId="2" xfId="69" applyNumberFormat="1" applyFont="1" applyFill="1" applyAlignment="1" applyProtection="1">
      <alignment horizontal="center" vertical="top" wrapText="1" shrinkToFit="1"/>
      <protection/>
    </xf>
    <xf numFmtId="4" fontId="61" fillId="0" borderId="2" xfId="70" applyNumberFormat="1" applyFont="1" applyFill="1" applyAlignment="1" applyProtection="1">
      <alignment horizontal="right" vertical="top" wrapText="1" shrinkToFit="1"/>
      <protection/>
    </xf>
    <xf numFmtId="0" fontId="4" fillId="0" borderId="0" xfId="117" applyFont="1" applyFill="1" applyAlignment="1" applyProtection="1">
      <alignment wrapText="1"/>
      <protection locked="0"/>
    </xf>
    <xf numFmtId="0" fontId="62" fillId="0" borderId="2" xfId="68" applyNumberFormat="1" applyFont="1" applyFill="1" applyAlignment="1" applyProtection="1">
      <alignment vertical="top" wrapText="1"/>
      <protection/>
    </xf>
    <xf numFmtId="49" fontId="62" fillId="0" borderId="2" xfId="69" applyNumberFormat="1" applyFont="1" applyFill="1" applyAlignment="1" applyProtection="1">
      <alignment horizontal="center" vertical="top" wrapText="1" shrinkToFit="1"/>
      <protection/>
    </xf>
    <xf numFmtId="4" fontId="62" fillId="0" borderId="2" xfId="70" applyNumberFormat="1" applyFont="1" applyFill="1" applyAlignment="1" applyProtection="1">
      <alignment horizontal="right" vertical="top" wrapText="1" shrinkToFit="1"/>
      <protection/>
    </xf>
    <xf numFmtId="0" fontId="62" fillId="0" borderId="0" xfId="66" applyNumberFormat="1" applyFont="1" applyFill="1" applyAlignment="1" applyProtection="1">
      <alignment wrapText="1"/>
      <protection/>
    </xf>
    <xf numFmtId="4" fontId="3" fillId="0" borderId="0" xfId="117" applyNumberFormat="1" applyFont="1" applyFill="1" applyAlignment="1" applyProtection="1">
      <alignment wrapText="1"/>
      <protection locked="0"/>
    </xf>
    <xf numFmtId="0" fontId="62" fillId="0" borderId="1" xfId="58" applyFont="1" applyFill="1" applyBorder="1" applyAlignment="1" applyProtection="1">
      <alignment horizontal="right" wrapText="1"/>
      <protection locked="0"/>
    </xf>
    <xf numFmtId="0" fontId="61" fillId="0" borderId="2" xfId="68" applyNumberFormat="1" applyFont="1" applyFill="1" applyProtection="1">
      <alignment vertical="top" wrapText="1"/>
      <protection/>
    </xf>
    <xf numFmtId="49" fontId="61" fillId="0" borderId="2" xfId="69" applyNumberFormat="1" applyFont="1" applyFill="1" applyProtection="1">
      <alignment horizontal="center" vertical="top" shrinkToFit="1"/>
      <protection/>
    </xf>
    <xf numFmtId="0" fontId="2" fillId="0" borderId="0" xfId="122">
      <alignment/>
      <protection/>
    </xf>
    <xf numFmtId="0" fontId="0" fillId="0" borderId="0" xfId="123" applyFont="1" applyProtection="1">
      <alignment/>
      <protection locked="0"/>
    </xf>
    <xf numFmtId="0" fontId="62" fillId="0" borderId="0" xfId="57" applyFont="1" applyFill="1" applyBorder="1" applyAlignment="1">
      <alignment wrapText="1"/>
      <protection/>
    </xf>
    <xf numFmtId="0" fontId="62" fillId="0" borderId="0" xfId="59" applyFont="1" applyFill="1" applyBorder="1" applyAlignment="1">
      <alignment wrapText="1"/>
      <protection/>
    </xf>
    <xf numFmtId="0" fontId="62" fillId="0" borderId="0" xfId="59" applyNumberFormat="1" applyFont="1" applyFill="1" applyBorder="1" applyAlignment="1" applyProtection="1">
      <alignment wrapText="1"/>
      <protection/>
    </xf>
    <xf numFmtId="0" fontId="62" fillId="0" borderId="1" xfId="60" applyFont="1" applyFill="1" applyBorder="1" applyAlignment="1">
      <alignment wrapText="1"/>
      <protection/>
    </xf>
    <xf numFmtId="0" fontId="62" fillId="0" borderId="1" xfId="60" applyNumberFormat="1" applyFont="1" applyFill="1" applyBorder="1" applyAlignment="1" applyProtection="1">
      <alignment wrapText="1"/>
      <protection/>
    </xf>
    <xf numFmtId="0" fontId="62" fillId="0" borderId="1" xfId="60" applyFont="1" applyFill="1" applyBorder="1" applyAlignment="1">
      <alignment horizontal="right" wrapText="1"/>
      <protection/>
    </xf>
    <xf numFmtId="0" fontId="33" fillId="0" borderId="0" xfId="123" applyFont="1" applyProtection="1">
      <alignment/>
      <protection locked="0"/>
    </xf>
    <xf numFmtId="4" fontId="61" fillId="0" borderId="23" xfId="66" applyNumberFormat="1" applyFont="1" applyFill="1" applyBorder="1" applyAlignment="1" applyProtection="1">
      <alignment horizontal="right" vertical="top" shrinkToFit="1"/>
      <protection/>
    </xf>
    <xf numFmtId="0" fontId="3" fillId="0" borderId="0" xfId="123" applyFont="1" applyProtection="1">
      <alignment/>
      <protection locked="0"/>
    </xf>
    <xf numFmtId="0" fontId="3" fillId="0" borderId="0" xfId="123" applyFont="1" applyFill="1" applyProtection="1">
      <alignment/>
      <protection locked="0"/>
    </xf>
    <xf numFmtId="4" fontId="3" fillId="0" borderId="0" xfId="123" applyNumberFormat="1" applyFont="1" applyFill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4" fontId="0" fillId="0" borderId="0" xfId="123" applyNumberFormat="1" applyFont="1" applyProtection="1">
      <alignment/>
      <protection locked="0"/>
    </xf>
    <xf numFmtId="4" fontId="33" fillId="0" borderId="0" xfId="123" applyNumberFormat="1" applyFont="1" applyProtection="1">
      <alignment/>
      <protection locked="0"/>
    </xf>
    <xf numFmtId="4" fontId="0" fillId="0" borderId="0" xfId="123" applyNumberFormat="1" applyFont="1" applyProtection="1">
      <alignment/>
      <protection locked="0"/>
    </xf>
    <xf numFmtId="0" fontId="3" fillId="0" borderId="23" xfId="118" applyFont="1" applyFill="1" applyBorder="1" applyAlignment="1">
      <alignment horizontal="center" vertical="center" wrapText="1"/>
      <protection/>
    </xf>
    <xf numFmtId="0" fontId="3" fillId="0" borderId="0" xfId="118" applyFont="1" applyFill="1" applyAlignment="1">
      <alignment horizontal="right" wrapText="1"/>
      <protection/>
    </xf>
    <xf numFmtId="0" fontId="3" fillId="0" borderId="2" xfId="68" applyNumberFormat="1" applyFont="1" applyFill="1" applyProtection="1">
      <alignment vertical="top" wrapText="1"/>
      <protection/>
    </xf>
    <xf numFmtId="49" fontId="3" fillId="0" borderId="2" xfId="69" applyNumberFormat="1" applyFont="1" applyFill="1" applyProtection="1">
      <alignment horizontal="center" vertical="top" shrinkToFit="1"/>
      <protection/>
    </xf>
    <xf numFmtId="4" fontId="3" fillId="0" borderId="2" xfId="70" applyNumberFormat="1" applyFont="1" applyFill="1" applyProtection="1">
      <alignment horizontal="right" vertical="top" shrinkToFit="1"/>
      <protection/>
    </xf>
    <xf numFmtId="4" fontId="3" fillId="0" borderId="2" xfId="71" applyNumberFormat="1" applyFont="1" applyFill="1" applyProtection="1">
      <alignment horizontal="right" vertical="top" shrinkToFit="1"/>
      <protection/>
    </xf>
    <xf numFmtId="0" fontId="0" fillId="0" borderId="0" xfId="0" applyFont="1" applyFill="1" applyAlignment="1" applyProtection="1">
      <alignment/>
      <protection locked="0"/>
    </xf>
    <xf numFmtId="0" fontId="33" fillId="0" borderId="0" xfId="0" applyFont="1" applyFill="1" applyAlignment="1" applyProtection="1">
      <alignment/>
      <protection locked="0"/>
    </xf>
    <xf numFmtId="4" fontId="33" fillId="0" borderId="0" xfId="0" applyNumberFormat="1" applyFont="1" applyFill="1" applyAlignment="1" applyProtection="1">
      <alignment/>
      <protection locked="0"/>
    </xf>
    <xf numFmtId="0" fontId="4" fillId="0" borderId="2" xfId="68" applyNumberFormat="1" applyFont="1" applyFill="1" applyProtection="1">
      <alignment vertical="top" wrapText="1"/>
      <protection/>
    </xf>
    <xf numFmtId="49" fontId="4" fillId="0" borderId="2" xfId="69" applyNumberFormat="1" applyFont="1" applyFill="1" applyProtection="1">
      <alignment horizontal="center" vertical="top" shrinkToFit="1"/>
      <protection/>
    </xf>
    <xf numFmtId="4" fontId="4" fillId="0" borderId="2" xfId="70" applyNumberFormat="1" applyFont="1" applyFill="1" applyProtection="1">
      <alignment horizontal="right" vertical="top" shrinkToFit="1"/>
      <protection/>
    </xf>
    <xf numFmtId="4" fontId="4" fillId="0" borderId="2" xfId="71" applyNumberFormat="1" applyFont="1" applyFill="1" applyProtection="1">
      <alignment horizontal="right" vertical="top" shrinkToFit="1"/>
      <protection/>
    </xf>
    <xf numFmtId="4" fontId="61" fillId="0" borderId="24" xfId="70" applyNumberFormat="1" applyFont="1" applyFill="1" applyBorder="1" applyProtection="1">
      <alignment horizontal="right" vertical="top" shrinkToFit="1"/>
      <protection/>
    </xf>
    <xf numFmtId="0" fontId="4" fillId="0" borderId="23" xfId="117" applyFont="1" applyFill="1" applyBorder="1" applyProtection="1">
      <alignment/>
      <protection locked="0"/>
    </xf>
    <xf numFmtId="0" fontId="0" fillId="0" borderId="0" xfId="117" applyFont="1" applyFill="1" applyProtection="1">
      <alignment/>
      <protection locked="0"/>
    </xf>
    <xf numFmtId="0" fontId="3" fillId="0" borderId="26" xfId="118" applyFont="1" applyFill="1" applyBorder="1" applyAlignment="1">
      <alignment horizontal="center" vertical="center" wrapText="1"/>
      <protection/>
    </xf>
    <xf numFmtId="0" fontId="3" fillId="0" borderId="0" xfId="57" applyNumberFormat="1" applyFont="1" applyFill="1" applyBorder="1" applyAlignment="1" applyProtection="1">
      <alignment vertical="center" wrapText="1"/>
      <protection/>
    </xf>
    <xf numFmtId="4" fontId="3" fillId="0" borderId="0" xfId="117" applyNumberFormat="1" applyFont="1" applyFill="1" applyProtection="1">
      <alignment/>
      <protection locked="0"/>
    </xf>
    <xf numFmtId="4" fontId="0" fillId="0" borderId="0" xfId="117" applyNumberFormat="1" applyFont="1" applyFill="1" applyProtection="1">
      <alignment/>
      <protection locked="0"/>
    </xf>
    <xf numFmtId="0" fontId="3" fillId="0" borderId="2" xfId="60" applyNumberFormat="1" applyFont="1" applyFill="1" applyProtection="1">
      <alignment horizontal="center" vertical="center" wrapText="1"/>
      <protection/>
    </xf>
    <xf numFmtId="0" fontId="3" fillId="0" borderId="25" xfId="68" applyNumberFormat="1" applyFont="1" applyFill="1" applyBorder="1" applyProtection="1">
      <alignment vertical="top" wrapText="1"/>
      <protection/>
    </xf>
    <xf numFmtId="49" fontId="3" fillId="0" borderId="25" xfId="69" applyNumberFormat="1" applyFont="1" applyFill="1" applyBorder="1" applyProtection="1">
      <alignment horizontal="center" vertical="top" shrinkToFit="1"/>
      <protection/>
    </xf>
    <xf numFmtId="4" fontId="3" fillId="0" borderId="25" xfId="70" applyNumberFormat="1" applyFont="1" applyFill="1" applyBorder="1" applyProtection="1">
      <alignment horizontal="right" vertical="top" shrinkToFit="1"/>
      <protection/>
    </xf>
    <xf numFmtId="4" fontId="4" fillId="0" borderId="23" xfId="64" applyNumberFormat="1" applyFont="1" applyFill="1" applyBorder="1" applyProtection="1">
      <alignment horizontal="right" vertical="top" shrinkToFit="1"/>
      <protection/>
    </xf>
    <xf numFmtId="0" fontId="3" fillId="0" borderId="0" xfId="67" applyNumberFormat="1" applyFont="1" applyFill="1" applyBorder="1" applyAlignment="1" applyProtection="1">
      <alignment wrapText="1"/>
      <protection/>
    </xf>
    <xf numFmtId="0" fontId="3" fillId="0" borderId="0" xfId="67" applyFont="1" applyFill="1" applyBorder="1" applyAlignment="1" applyProtection="1">
      <alignment wrapText="1"/>
      <protection locked="0"/>
    </xf>
    <xf numFmtId="4" fontId="3" fillId="0" borderId="0" xfId="67" applyNumberFormat="1" applyFont="1" applyFill="1" applyBorder="1" applyAlignment="1" applyProtection="1">
      <alignment wrapText="1"/>
      <protection locked="0"/>
    </xf>
    <xf numFmtId="0" fontId="3" fillId="0" borderId="23" xfId="0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vertical="center" wrapText="1"/>
    </xf>
    <xf numFmtId="0" fontId="3" fillId="0" borderId="2" xfId="68" applyNumberFormat="1" applyFont="1" applyFill="1" applyAlignment="1" applyProtection="1">
      <alignment vertical="top" wrapText="1"/>
      <protection/>
    </xf>
    <xf numFmtId="49" fontId="3" fillId="0" borderId="2" xfId="69" applyNumberFormat="1" applyFont="1" applyFill="1" applyAlignment="1" applyProtection="1">
      <alignment horizontal="center" vertical="top" wrapText="1" shrinkToFit="1"/>
      <protection/>
    </xf>
    <xf numFmtId="4" fontId="3" fillId="0" borderId="2" xfId="70" applyNumberFormat="1" applyFont="1" applyFill="1" applyAlignment="1" applyProtection="1">
      <alignment horizontal="right" vertical="top" wrapText="1" shrinkToFit="1"/>
      <protection/>
    </xf>
    <xf numFmtId="4" fontId="4" fillId="0" borderId="0" xfId="117" applyNumberFormat="1" applyFont="1" applyFill="1" applyAlignment="1" applyProtection="1">
      <alignment wrapText="1"/>
      <protection locked="0"/>
    </xf>
    <xf numFmtId="0" fontId="3" fillId="0" borderId="0" xfId="118" applyFont="1" applyFill="1" applyBorder="1" applyAlignment="1">
      <alignment horizontal="center" vertical="center" wrapText="1"/>
      <protection/>
    </xf>
    <xf numFmtId="0" fontId="62" fillId="0" borderId="25" xfId="68" applyNumberFormat="1" applyFont="1" applyFill="1" applyBorder="1" applyAlignment="1" applyProtection="1">
      <alignment vertical="top" wrapText="1"/>
      <protection/>
    </xf>
    <xf numFmtId="49" fontId="62" fillId="0" borderId="25" xfId="69" applyNumberFormat="1" applyFont="1" applyFill="1" applyBorder="1" applyAlignment="1" applyProtection="1">
      <alignment horizontal="center" vertical="top" wrapText="1" shrinkToFit="1"/>
      <protection/>
    </xf>
    <xf numFmtId="4" fontId="62" fillId="0" borderId="25" xfId="70" applyNumberFormat="1" applyFont="1" applyFill="1" applyBorder="1" applyAlignment="1" applyProtection="1">
      <alignment horizontal="right" vertical="top" wrapText="1" shrinkToFit="1"/>
      <protection/>
    </xf>
    <xf numFmtId="4" fontId="63" fillId="0" borderId="32" xfId="70" applyNumberFormat="1" applyFont="1" applyFill="1" applyBorder="1" applyAlignment="1" applyProtection="1">
      <alignment horizontal="right" vertical="top" wrapText="1" shrinkToFit="1"/>
      <protection/>
    </xf>
    <xf numFmtId="4" fontId="63" fillId="0" borderId="2" xfId="70" applyNumberFormat="1" applyFont="1" applyFill="1" applyProtection="1">
      <alignment horizontal="right" vertical="top" shrinkToFit="1"/>
      <protection/>
    </xf>
    <xf numFmtId="4" fontId="63" fillId="0" borderId="2" xfId="71" applyNumberFormat="1" applyFont="1" applyFill="1" applyProtection="1">
      <alignment horizontal="right" vertical="top" shrinkToFit="1"/>
      <protection/>
    </xf>
    <xf numFmtId="49" fontId="4" fillId="0" borderId="2" xfId="69" applyNumberFormat="1" applyFont="1" applyFill="1" applyAlignment="1" applyProtection="1">
      <alignment horizontal="center" vertical="center" wrapText="1" shrinkToFit="1"/>
      <protection/>
    </xf>
    <xf numFmtId="4" fontId="4" fillId="0" borderId="23" xfId="0" applyNumberFormat="1" applyFont="1" applyFill="1" applyBorder="1" applyAlignment="1">
      <alignment vertical="center" wrapText="1"/>
    </xf>
    <xf numFmtId="4" fontId="3" fillId="0" borderId="23" xfId="0" applyNumberFormat="1" applyFont="1" applyFill="1" applyBorder="1" applyAlignment="1">
      <alignment vertical="center" wrapText="1"/>
    </xf>
    <xf numFmtId="0" fontId="4" fillId="0" borderId="2" xfId="68" applyNumberFormat="1" applyFont="1" applyFill="1" applyAlignment="1" applyProtection="1">
      <alignment vertical="top" wrapText="1"/>
      <protection/>
    </xf>
    <xf numFmtId="49" fontId="4" fillId="0" borderId="2" xfId="69" applyNumberFormat="1" applyFont="1" applyFill="1" applyAlignment="1" applyProtection="1">
      <alignment horizontal="center" vertical="top" wrapText="1" shrinkToFit="1"/>
      <protection/>
    </xf>
    <xf numFmtId="4" fontId="4" fillId="0" borderId="2" xfId="70" applyNumberFormat="1" applyFont="1" applyFill="1" applyAlignment="1" applyProtection="1">
      <alignment horizontal="right" vertical="top" wrapText="1" shrinkToFit="1"/>
      <protection/>
    </xf>
    <xf numFmtId="49" fontId="3" fillId="0" borderId="2" xfId="69" applyNumberFormat="1" applyFont="1" applyFill="1" applyAlignment="1" applyProtection="1">
      <alignment horizontal="center" vertical="center" shrinkToFit="1"/>
      <protection/>
    </xf>
    <xf numFmtId="4" fontId="3" fillId="0" borderId="2" xfId="70" applyNumberFormat="1" applyFont="1" applyFill="1" applyAlignment="1" applyProtection="1">
      <alignment horizontal="right" vertical="center" shrinkToFit="1"/>
      <protection/>
    </xf>
    <xf numFmtId="4" fontId="62" fillId="0" borderId="33" xfId="70" applyNumberFormat="1" applyFont="1" applyFill="1" applyBorder="1" applyProtection="1">
      <alignment horizontal="right" vertical="top" shrinkToFit="1"/>
      <protection/>
    </xf>
    <xf numFmtId="4" fontId="62" fillId="0" borderId="34" xfId="70" applyNumberFormat="1" applyFont="1" applyFill="1" applyBorder="1" applyProtection="1">
      <alignment horizontal="right" vertical="top" shrinkToFit="1"/>
      <protection/>
    </xf>
    <xf numFmtId="0" fontId="64" fillId="0" borderId="0" xfId="117" applyFont="1" applyFill="1" applyAlignment="1" applyProtection="1">
      <alignment wrapText="1"/>
      <protection locked="0"/>
    </xf>
    <xf numFmtId="4" fontId="64" fillId="0" borderId="0" xfId="117" applyNumberFormat="1" applyFont="1" applyFill="1" applyAlignment="1" applyProtection="1">
      <alignment wrapText="1"/>
      <protection locked="0"/>
    </xf>
    <xf numFmtId="4" fontId="3" fillId="0" borderId="2" xfId="70" applyNumberFormat="1" applyFont="1" applyFill="1" applyAlignment="1" applyProtection="1">
      <alignment horizontal="right" vertical="center" wrapText="1" shrinkToFit="1"/>
      <protection/>
    </xf>
    <xf numFmtId="4" fontId="0" fillId="0" borderId="0" xfId="0" applyNumberFormat="1" applyFill="1" applyAlignment="1" applyProtection="1">
      <alignment/>
      <protection locked="0"/>
    </xf>
    <xf numFmtId="0" fontId="59" fillId="0" borderId="0" xfId="0" applyFont="1" applyFill="1" applyAlignment="1" applyProtection="1">
      <alignment/>
      <protection locked="0"/>
    </xf>
    <xf numFmtId="4" fontId="64" fillId="0" borderId="2" xfId="71" applyNumberFormat="1" applyFont="1" applyFill="1" applyProtection="1">
      <alignment horizontal="right" vertical="top" shrinkToFit="1"/>
      <protection/>
    </xf>
    <xf numFmtId="4" fontId="65" fillId="0" borderId="0" xfId="0" applyNumberFormat="1" applyFont="1" applyFill="1" applyAlignment="1" applyProtection="1">
      <alignment/>
      <protection locked="0"/>
    </xf>
    <xf numFmtId="4" fontId="64" fillId="0" borderId="2" xfId="70" applyNumberFormat="1" applyFont="1" applyFill="1" applyProtection="1">
      <alignment horizontal="right" vertical="top" shrinkToFi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21" fillId="0" borderId="0" xfId="118" applyFont="1">
      <alignment/>
      <protection/>
    </xf>
    <xf numFmtId="4" fontId="21" fillId="0" borderId="0" xfId="118" applyNumberFormat="1" applyFont="1">
      <alignment/>
      <protection/>
    </xf>
    <xf numFmtId="0" fontId="21" fillId="0" borderId="0" xfId="118" applyFont="1" applyAlignment="1">
      <alignment horizontal="right"/>
      <protection/>
    </xf>
    <xf numFmtId="0" fontId="21" fillId="0" borderId="0" xfId="118" applyFont="1" applyAlignment="1">
      <alignment horizontal="right"/>
      <protection/>
    </xf>
    <xf numFmtId="49" fontId="21" fillId="0" borderId="0" xfId="118" applyNumberFormat="1" applyFont="1" applyAlignment="1">
      <alignment vertical="top"/>
      <protection/>
    </xf>
    <xf numFmtId="0" fontId="21" fillId="0" borderId="0" xfId="118" applyFont="1" applyAlignment="1">
      <alignment horizontal="left" vertical="top" wrapText="1"/>
      <protection/>
    </xf>
    <xf numFmtId="49" fontId="21" fillId="0" borderId="0" xfId="118" applyNumberFormat="1" applyFont="1" applyAlignment="1">
      <alignment horizontal="center"/>
      <protection/>
    </xf>
    <xf numFmtId="0" fontId="24" fillId="0" borderId="0" xfId="118" applyFont="1" applyBorder="1" applyAlignment="1">
      <alignment horizontal="center" vertical="center" wrapText="1"/>
      <protection/>
    </xf>
    <xf numFmtId="0" fontId="25" fillId="0" borderId="0" xfId="118" applyFont="1" applyBorder="1" applyAlignment="1">
      <alignment horizontal="left" vertical="center" wrapText="1"/>
      <protection/>
    </xf>
    <xf numFmtId="49" fontId="25" fillId="0" borderId="0" xfId="118" applyNumberFormat="1" applyFont="1" applyBorder="1" applyAlignment="1">
      <alignment horizontal="center" vertical="center" wrapText="1"/>
      <protection/>
    </xf>
    <xf numFmtId="4" fontId="25" fillId="0" borderId="0" xfId="118" applyNumberFormat="1" applyFont="1" applyBorder="1" applyAlignment="1">
      <alignment horizontal="right" vertical="center" wrapText="1"/>
      <protection/>
    </xf>
    <xf numFmtId="172" fontId="25" fillId="0" borderId="0" xfId="118" applyNumberFormat="1" applyFont="1" applyBorder="1" applyAlignment="1">
      <alignment horizontal="right" vertical="center" wrapText="1"/>
      <protection/>
    </xf>
    <xf numFmtId="49" fontId="21" fillId="0" borderId="0" xfId="118" applyNumberFormat="1" applyFont="1" applyBorder="1" applyAlignment="1">
      <alignment horizontal="center" vertical="center"/>
      <protection/>
    </xf>
    <xf numFmtId="0" fontId="21" fillId="0" borderId="0" xfId="118" applyFont="1" applyBorder="1" applyAlignment="1">
      <alignment horizontal="left" vertical="center" wrapText="1"/>
      <protection/>
    </xf>
    <xf numFmtId="49" fontId="21" fillId="0" borderId="0" xfId="118" applyNumberFormat="1" applyFont="1" applyBorder="1" applyAlignment="1">
      <alignment horizontal="center" vertical="center" wrapText="1"/>
      <protection/>
    </xf>
    <xf numFmtId="4" fontId="21" fillId="0" borderId="0" xfId="118" applyNumberFormat="1" applyFont="1" applyBorder="1" applyAlignment="1">
      <alignment horizontal="right" vertical="center" wrapText="1"/>
      <protection/>
    </xf>
    <xf numFmtId="0" fontId="23" fillId="0" borderId="0" xfId="118" applyFont="1" applyBorder="1" applyAlignment="1">
      <alignment horizontal="center" vertical="center" wrapText="1"/>
      <protection/>
    </xf>
    <xf numFmtId="4" fontId="21" fillId="0" borderId="0" xfId="118" applyNumberFormat="1" applyFont="1" applyFill="1" applyBorder="1" applyAlignment="1">
      <alignment horizontal="right" vertical="center" wrapText="1"/>
      <protection/>
    </xf>
    <xf numFmtId="4" fontId="66" fillId="0" borderId="0" xfId="118" applyNumberFormat="1" applyFont="1">
      <alignment/>
      <protection/>
    </xf>
    <xf numFmtId="172" fontId="25" fillId="0" borderId="0" xfId="118" applyNumberFormat="1" applyFont="1" applyFill="1" applyBorder="1" applyAlignment="1">
      <alignment horizontal="right" vertical="center" wrapText="1"/>
      <protection/>
    </xf>
    <xf numFmtId="49" fontId="25" fillId="0" borderId="0" xfId="118" applyNumberFormat="1" applyFont="1" applyBorder="1" applyAlignment="1">
      <alignment horizontal="center" vertical="center"/>
      <protection/>
    </xf>
    <xf numFmtId="172" fontId="21" fillId="0" borderId="0" xfId="118" applyNumberFormat="1" applyFont="1" applyFill="1" applyBorder="1" applyAlignment="1">
      <alignment horizontal="right" vertical="center" wrapText="1"/>
      <protection/>
    </xf>
    <xf numFmtId="172" fontId="21" fillId="0" borderId="0" xfId="118" applyNumberFormat="1" applyFont="1" applyBorder="1" applyAlignment="1">
      <alignment horizontal="right" vertical="center" wrapText="1"/>
      <protection/>
    </xf>
    <xf numFmtId="4" fontId="21" fillId="0" borderId="0" xfId="118" applyNumberFormat="1" applyFont="1">
      <alignment/>
      <protection/>
    </xf>
    <xf numFmtId="0" fontId="21" fillId="0" borderId="0" xfId="118" applyFont="1">
      <alignment/>
      <protection/>
    </xf>
    <xf numFmtId="49" fontId="23" fillId="0" borderId="0" xfId="118" applyNumberFormat="1" applyFont="1" applyBorder="1" applyAlignment="1">
      <alignment horizontal="center" vertical="center" wrapText="1"/>
      <protection/>
    </xf>
    <xf numFmtId="0" fontId="25" fillId="0" borderId="0" xfId="118" applyFont="1" applyBorder="1" applyAlignment="1">
      <alignment horizontal="left" vertical="center" wrapText="1"/>
      <protection/>
    </xf>
    <xf numFmtId="49" fontId="25" fillId="0" borderId="0" xfId="118" applyNumberFormat="1" applyFont="1" applyBorder="1" applyAlignment="1">
      <alignment horizontal="center" vertical="center"/>
      <protection/>
    </xf>
    <xf numFmtId="4" fontId="25" fillId="0" borderId="0" xfId="118" applyNumberFormat="1" applyFont="1" applyBorder="1" applyAlignment="1">
      <alignment horizontal="right" vertical="center"/>
      <protection/>
    </xf>
    <xf numFmtId="4" fontId="66" fillId="0" borderId="0" xfId="118" applyNumberFormat="1" applyFont="1" applyAlignment="1">
      <alignment horizontal="right" vertical="center"/>
      <protection/>
    </xf>
    <xf numFmtId="4" fontId="67" fillId="0" borderId="0" xfId="118" applyNumberFormat="1" applyFont="1" applyBorder="1" applyAlignment="1">
      <alignment horizontal="right" vertical="center"/>
      <protection/>
    </xf>
    <xf numFmtId="4" fontId="21" fillId="0" borderId="0" xfId="118" applyNumberFormat="1" applyFont="1" applyAlignment="1">
      <alignment vertical="center"/>
      <protection/>
    </xf>
    <xf numFmtId="0" fontId="21" fillId="0" borderId="0" xfId="118" applyFont="1" applyAlignment="1">
      <alignment vertical="center"/>
      <protection/>
    </xf>
    <xf numFmtId="0" fontId="21" fillId="0" borderId="0" xfId="118" applyFont="1" applyBorder="1" applyAlignment="1">
      <alignment horizontal="left" vertical="center" wrapText="1"/>
      <protection/>
    </xf>
    <xf numFmtId="4" fontId="21" fillId="0" borderId="0" xfId="118" applyNumberFormat="1" applyFont="1" applyBorder="1" applyAlignment="1">
      <alignment horizontal="right" vertical="center"/>
      <protection/>
    </xf>
    <xf numFmtId="4" fontId="67" fillId="0" borderId="0" xfId="118" applyNumberFormat="1" applyFont="1">
      <alignment/>
      <protection/>
    </xf>
    <xf numFmtId="4" fontId="21" fillId="0" borderId="0" xfId="118" applyNumberFormat="1" applyFont="1" applyFill="1" applyBorder="1" applyAlignment="1">
      <alignment horizontal="right" vertical="center"/>
      <protection/>
    </xf>
    <xf numFmtId="4" fontId="25" fillId="0" borderId="0" xfId="118" applyNumberFormat="1" applyFont="1" applyFill="1" applyBorder="1" applyAlignment="1">
      <alignment horizontal="right" vertical="center"/>
      <protection/>
    </xf>
    <xf numFmtId="4" fontId="25" fillId="0" borderId="0" xfId="118" applyNumberFormat="1" applyFont="1" applyBorder="1" applyAlignment="1">
      <alignment horizontal="right" vertical="center"/>
      <protection/>
    </xf>
    <xf numFmtId="4" fontId="25" fillId="0" borderId="0" xfId="118" applyNumberFormat="1" applyFont="1" applyAlignment="1">
      <alignment vertical="center"/>
      <protection/>
    </xf>
    <xf numFmtId="0" fontId="25" fillId="0" borderId="0" xfId="118" applyFont="1" applyAlignment="1">
      <alignment vertical="center"/>
      <protection/>
    </xf>
    <xf numFmtId="172" fontId="25" fillId="0" borderId="0" xfId="118" applyNumberFormat="1" applyFont="1" applyBorder="1" applyAlignment="1">
      <alignment horizontal="right" vertical="center"/>
      <protection/>
    </xf>
    <xf numFmtId="172" fontId="21" fillId="0" borderId="0" xfId="118" applyNumberFormat="1" applyFont="1" applyBorder="1" applyAlignment="1">
      <alignment horizontal="right" vertical="center"/>
      <protection/>
    </xf>
    <xf numFmtId="172" fontId="21" fillId="0" borderId="0" xfId="118" applyNumberFormat="1" applyFont="1" applyFill="1" applyBorder="1" applyAlignment="1">
      <alignment horizontal="right" vertical="center"/>
      <protection/>
    </xf>
    <xf numFmtId="0" fontId="24" fillId="0" borderId="0" xfId="118" applyFont="1" applyBorder="1" applyAlignment="1">
      <alignment vertical="center" wrapText="1"/>
      <protection/>
    </xf>
    <xf numFmtId="0" fontId="22" fillId="0" borderId="0" xfId="118" applyFont="1" applyAlignment="1">
      <alignment horizontal="center"/>
      <protection/>
    </xf>
    <xf numFmtId="0" fontId="23" fillId="0" borderId="35" xfId="118" applyFont="1" applyBorder="1" applyAlignment="1">
      <alignment horizontal="center" vertical="center" wrapText="1"/>
      <protection/>
    </xf>
    <xf numFmtId="0" fontId="23" fillId="0" borderId="36" xfId="118" applyFont="1" applyBorder="1" applyAlignment="1">
      <alignment horizontal="center" vertical="center" wrapText="1"/>
      <protection/>
    </xf>
    <xf numFmtId="0" fontId="23" fillId="0" borderId="37" xfId="118" applyFont="1" applyBorder="1" applyAlignment="1">
      <alignment horizontal="center" vertical="center"/>
      <protection/>
    </xf>
    <xf numFmtId="0" fontId="23" fillId="0" borderId="38" xfId="118" applyFont="1" applyBorder="1" applyAlignment="1">
      <alignment horizontal="center" vertical="center"/>
      <protection/>
    </xf>
    <xf numFmtId="0" fontId="23" fillId="0" borderId="39" xfId="118" applyFont="1" applyBorder="1" applyAlignment="1">
      <alignment horizontal="center" vertical="center"/>
      <protection/>
    </xf>
    <xf numFmtId="0" fontId="23" fillId="0" borderId="40" xfId="118" applyFont="1" applyBorder="1" applyAlignment="1">
      <alignment horizontal="center" vertical="center"/>
      <protection/>
    </xf>
    <xf numFmtId="0" fontId="23" fillId="0" borderId="41" xfId="118" applyFont="1" applyBorder="1" applyAlignment="1">
      <alignment horizontal="center" vertical="center"/>
      <protection/>
    </xf>
    <xf numFmtId="0" fontId="23" fillId="0" borderId="42" xfId="118" applyFont="1" applyBorder="1" applyAlignment="1">
      <alignment horizontal="center" vertical="center"/>
      <protection/>
    </xf>
    <xf numFmtId="0" fontId="3" fillId="0" borderId="0" xfId="118" applyFont="1" applyFill="1" applyAlignment="1">
      <alignment horizontal="right"/>
      <protection/>
    </xf>
    <xf numFmtId="0" fontId="21" fillId="0" borderId="0" xfId="118" applyFont="1" applyAlignment="1">
      <alignment horizontal="right"/>
      <protection/>
    </xf>
    <xf numFmtId="0" fontId="3" fillId="0" borderId="0" xfId="118" applyFont="1" applyFill="1" applyAlignment="1">
      <alignment horizontal="right" wrapText="1"/>
      <protection/>
    </xf>
    <xf numFmtId="0" fontId="4" fillId="0" borderId="0" xfId="118" applyFont="1" applyFill="1" applyAlignment="1">
      <alignment horizontal="center" wrapText="1"/>
      <protection/>
    </xf>
    <xf numFmtId="0" fontId="41" fillId="0" borderId="0" xfId="67" applyNumberFormat="1" applyFill="1" applyBorder="1" applyProtection="1">
      <alignment horizontal="left" wrapText="1"/>
      <protection/>
    </xf>
    <xf numFmtId="0" fontId="41" fillId="0" borderId="0" xfId="67" applyFill="1" applyBorder="1" applyProtection="1">
      <alignment horizontal="left" wrapText="1"/>
      <protection locked="0"/>
    </xf>
    <xf numFmtId="0" fontId="61" fillId="0" borderId="23" xfId="65" applyNumberFormat="1" applyFont="1" applyFill="1" applyBorder="1" applyAlignment="1" applyProtection="1">
      <alignment horizontal="right"/>
      <protection/>
    </xf>
    <xf numFmtId="0" fontId="61" fillId="0" borderId="23" xfId="65" applyNumberFormat="1" applyFont="1" applyFill="1" applyBorder="1" applyAlignment="1">
      <alignment horizontal="right"/>
      <protection/>
    </xf>
    <xf numFmtId="0" fontId="61" fillId="0" borderId="24" xfId="68" applyNumberFormat="1" applyFont="1" applyFill="1" applyBorder="1" applyAlignment="1" applyProtection="1">
      <alignment horizontal="right" vertical="top" wrapText="1"/>
      <protection/>
    </xf>
    <xf numFmtId="0" fontId="61" fillId="0" borderId="4" xfId="68" applyNumberFormat="1" applyFont="1" applyFill="1" applyBorder="1" applyAlignment="1" applyProtection="1">
      <alignment horizontal="right" vertical="top" wrapText="1"/>
      <protection/>
    </xf>
    <xf numFmtId="0" fontId="61" fillId="0" borderId="32" xfId="68" applyNumberFormat="1" applyFont="1" applyFill="1" applyBorder="1" applyAlignment="1" applyProtection="1">
      <alignment horizontal="right" vertical="top" wrapText="1"/>
      <protection/>
    </xf>
    <xf numFmtId="0" fontId="4" fillId="0" borderId="0" xfId="118" applyFont="1" applyFill="1" applyAlignment="1">
      <alignment horizontal="center" vertical="center" wrapText="1"/>
      <protection/>
    </xf>
    <xf numFmtId="0" fontId="4" fillId="0" borderId="43" xfId="63" applyNumberFormat="1" applyFont="1" applyFill="1" applyBorder="1" applyAlignment="1" applyProtection="1">
      <alignment horizontal="right"/>
      <protection/>
    </xf>
    <xf numFmtId="0" fontId="4" fillId="0" borderId="44" xfId="63" applyNumberFormat="1" applyFont="1" applyFill="1" applyBorder="1" applyAlignment="1" applyProtection="1">
      <alignment horizontal="right"/>
      <protection/>
    </xf>
    <xf numFmtId="0" fontId="4" fillId="0" borderId="45" xfId="63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1" xfId="57" applyNumberFormat="1" applyFont="1" applyFill="1" applyBorder="1" applyAlignment="1" applyProtection="1">
      <alignment horizontal="right" vertical="center" wrapText="1"/>
      <protection/>
    </xf>
    <xf numFmtId="0" fontId="61" fillId="0" borderId="0" xfId="59" applyFont="1" applyFill="1" applyBorder="1" applyAlignment="1">
      <alignment horizontal="center" wrapText="1"/>
      <protection/>
    </xf>
    <xf numFmtId="49" fontId="61" fillId="0" borderId="24" xfId="69" applyNumberFormat="1" applyFont="1" applyBorder="1" applyAlignment="1" applyProtection="1">
      <alignment horizontal="left" vertical="top" wrapText="1" shrinkToFit="1"/>
      <protection/>
    </xf>
    <xf numFmtId="49" fontId="61" fillId="0" borderId="32" xfId="69" applyNumberFormat="1" applyFont="1" applyBorder="1" applyAlignment="1" applyProtection="1">
      <alignment horizontal="left" vertical="top" wrapText="1" shrinkToFit="1"/>
      <protection/>
    </xf>
    <xf numFmtId="49" fontId="61" fillId="0" borderId="24" xfId="69" applyNumberFormat="1" applyFont="1" applyBorder="1" applyAlignment="1" applyProtection="1">
      <alignment horizontal="left" vertical="top" wrapText="1"/>
      <protection/>
    </xf>
    <xf numFmtId="49" fontId="61" fillId="0" borderId="32" xfId="69" applyNumberFormat="1" applyFont="1" applyBorder="1" applyAlignment="1" applyProtection="1">
      <alignment horizontal="left" vertical="top" wrapText="1"/>
      <protection/>
    </xf>
    <xf numFmtId="4" fontId="61" fillId="0" borderId="46" xfId="66" applyNumberFormat="1" applyFont="1" applyFill="1" applyBorder="1" applyAlignment="1" applyProtection="1">
      <alignment horizontal="right" vertical="top" shrinkToFit="1"/>
      <protection/>
    </xf>
    <xf numFmtId="4" fontId="61" fillId="0" borderId="47" xfId="66" applyNumberFormat="1" applyFont="1" applyFill="1" applyBorder="1" applyAlignment="1" applyProtection="1">
      <alignment horizontal="right" vertical="top" shrinkToFit="1"/>
      <protection/>
    </xf>
    <xf numFmtId="0" fontId="62" fillId="0" borderId="0" xfId="67" applyNumberFormat="1" applyFont="1" applyBorder="1" applyProtection="1">
      <alignment horizontal="left" wrapText="1"/>
      <protection/>
    </xf>
    <xf numFmtId="0" fontId="62" fillId="0" borderId="0" xfId="67" applyFont="1" applyBorder="1" applyProtection="1">
      <alignment horizontal="left" wrapText="1"/>
      <protection locked="0"/>
    </xf>
  </cellXfs>
  <cellStyles count="12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Акцент1" xfId="80"/>
    <cellStyle name="Акцент1 2" xfId="81"/>
    <cellStyle name="Акцент2" xfId="82"/>
    <cellStyle name="Акцент2 2" xfId="83"/>
    <cellStyle name="Акцент3" xfId="84"/>
    <cellStyle name="Акцент3 2" xfId="85"/>
    <cellStyle name="Акцент4" xfId="86"/>
    <cellStyle name="Акцент4 2" xfId="87"/>
    <cellStyle name="Акцент5" xfId="88"/>
    <cellStyle name="Акцент5 2" xfId="89"/>
    <cellStyle name="Акцент6" xfId="90"/>
    <cellStyle name="Акцент6 2" xfId="91"/>
    <cellStyle name="Ввод " xfId="92"/>
    <cellStyle name="Ввод  2" xfId="93"/>
    <cellStyle name="Вывод" xfId="94"/>
    <cellStyle name="Вывод 2" xfId="95"/>
    <cellStyle name="Вычисление" xfId="96"/>
    <cellStyle name="Вычисление 2" xfId="97"/>
    <cellStyle name="Hyperlink" xfId="98"/>
    <cellStyle name="Currency" xfId="99"/>
    <cellStyle name="Currency [0]" xfId="100"/>
    <cellStyle name="Заголовок 1" xfId="101"/>
    <cellStyle name="Заголовок 1 2" xfId="102"/>
    <cellStyle name="Заголовок 2" xfId="103"/>
    <cellStyle name="Заголовок 2 2" xfId="104"/>
    <cellStyle name="Заголовок 3" xfId="105"/>
    <cellStyle name="Заголовок 3 2" xfId="106"/>
    <cellStyle name="Заголовок 4" xfId="107"/>
    <cellStyle name="Заголовок 4 2" xfId="108"/>
    <cellStyle name="Итог" xfId="109"/>
    <cellStyle name="Итог 2" xfId="110"/>
    <cellStyle name="Контрольная ячейка" xfId="111"/>
    <cellStyle name="Контрольная ячейка 2" xfId="112"/>
    <cellStyle name="Название" xfId="113"/>
    <cellStyle name="Название 2" xfId="114"/>
    <cellStyle name="Нейтральный" xfId="115"/>
    <cellStyle name="Нейтральный 2" xfId="116"/>
    <cellStyle name="Обычный 2" xfId="117"/>
    <cellStyle name="Обычный 2 2" xfId="118"/>
    <cellStyle name="Обычный 3" xfId="119"/>
    <cellStyle name="Обычный 4" xfId="120"/>
    <cellStyle name="Обычный 5" xfId="121"/>
    <cellStyle name="Обычный 6" xfId="122"/>
    <cellStyle name="Обычный 7" xfId="123"/>
    <cellStyle name="Followed Hyperlink" xfId="124"/>
    <cellStyle name="Плохой" xfId="125"/>
    <cellStyle name="Плохой 2" xfId="126"/>
    <cellStyle name="Пояснение" xfId="127"/>
    <cellStyle name="Пояснение 2" xfId="128"/>
    <cellStyle name="Примечание" xfId="129"/>
    <cellStyle name="Примечание 2" xfId="130"/>
    <cellStyle name="Percent" xfId="131"/>
    <cellStyle name="Связанная ячейка" xfId="132"/>
    <cellStyle name="Связанная ячейка 2" xfId="133"/>
    <cellStyle name="Текст предупреждения" xfId="134"/>
    <cellStyle name="Текст предупреждения 2" xfId="135"/>
    <cellStyle name="Comma" xfId="136"/>
    <cellStyle name="Comma [0]" xfId="137"/>
    <cellStyle name="Хороший" xfId="138"/>
    <cellStyle name="Хороший 2" xfId="13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tabSelected="1" zoomScalePageLayoutView="0" workbookViewId="0" topLeftCell="B8">
      <selection activeCell="K42" sqref="K42"/>
    </sheetView>
  </sheetViews>
  <sheetFormatPr defaultColWidth="9.140625" defaultRowHeight="15"/>
  <cols>
    <col min="1" max="1" width="5.8515625" style="134" hidden="1" customWidth="1"/>
    <col min="2" max="2" width="38.7109375" style="134" customWidth="1"/>
    <col min="3" max="3" width="7.421875" style="134" customWidth="1"/>
    <col min="4" max="4" width="7.57421875" style="134" customWidth="1"/>
    <col min="5" max="5" width="6.8515625" style="134" customWidth="1"/>
    <col min="6" max="6" width="6.00390625" style="134" customWidth="1"/>
    <col min="7" max="7" width="6.140625" style="134" customWidth="1"/>
    <col min="8" max="8" width="5.140625" style="134" customWidth="1"/>
    <col min="9" max="9" width="7.421875" style="134" customWidth="1"/>
    <col min="10" max="10" width="9.00390625" style="134" customWidth="1"/>
    <col min="11" max="11" width="18.28125" style="134" customWidth="1"/>
    <col min="12" max="12" width="20.140625" style="135" hidden="1" customWidth="1"/>
    <col min="13" max="13" width="23.00390625" style="134" hidden="1" customWidth="1"/>
    <col min="14" max="14" width="14.28125" style="135" customWidth="1"/>
    <col min="15" max="15" width="16.57421875" style="135" bestFit="1" customWidth="1"/>
    <col min="16" max="16" width="9.140625" style="134" customWidth="1"/>
    <col min="17" max="17" width="15.57421875" style="134" bestFit="1" customWidth="1"/>
    <col min="18" max="16384" width="9.140625" style="134" customWidth="1"/>
  </cols>
  <sheetData>
    <row r="1" spans="3:11" ht="15.75">
      <c r="C1" s="22"/>
      <c r="D1" s="22"/>
      <c r="E1" s="22"/>
      <c r="F1" s="22"/>
      <c r="G1" s="22"/>
      <c r="H1" s="22"/>
      <c r="I1" s="22"/>
      <c r="J1" s="188" t="s">
        <v>968</v>
      </c>
      <c r="K1" s="188"/>
    </row>
    <row r="2" spans="3:11" ht="15.75">
      <c r="C2" s="22"/>
      <c r="D2" s="188" t="s">
        <v>705</v>
      </c>
      <c r="E2" s="188"/>
      <c r="F2" s="188"/>
      <c r="G2" s="188"/>
      <c r="H2" s="188"/>
      <c r="I2" s="188"/>
      <c r="J2" s="188"/>
      <c r="K2" s="188"/>
    </row>
    <row r="3" spans="2:256" ht="15.75">
      <c r="B3" s="189" t="s">
        <v>706</v>
      </c>
      <c r="C3" s="189"/>
      <c r="D3" s="189"/>
      <c r="E3" s="189"/>
      <c r="F3" s="189"/>
      <c r="G3" s="189"/>
      <c r="H3" s="189"/>
      <c r="I3" s="189"/>
      <c r="J3" s="189"/>
      <c r="K3" s="189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  <c r="IV3" s="135"/>
    </row>
    <row r="4" spans="2:256" ht="15.75">
      <c r="B4" s="188" t="s">
        <v>707</v>
      </c>
      <c r="C4" s="188"/>
      <c r="D4" s="188"/>
      <c r="E4" s="188"/>
      <c r="F4" s="188"/>
      <c r="G4" s="188"/>
      <c r="H4" s="188"/>
      <c r="I4" s="188"/>
      <c r="J4" s="188"/>
      <c r="K4" s="188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</row>
    <row r="5" spans="2:256" ht="15.75">
      <c r="B5" s="188"/>
      <c r="C5" s="188"/>
      <c r="D5" s="188"/>
      <c r="E5" s="188"/>
      <c r="F5" s="188"/>
      <c r="G5" s="188"/>
      <c r="H5" s="188"/>
      <c r="I5" s="188"/>
      <c r="J5" s="188"/>
      <c r="K5" s="188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  <c r="IM5" s="135"/>
      <c r="IN5" s="135"/>
      <c r="IO5" s="135"/>
      <c r="IP5" s="135"/>
      <c r="IQ5" s="135"/>
      <c r="IR5" s="135"/>
      <c r="IS5" s="135"/>
      <c r="IT5" s="135"/>
      <c r="IU5" s="135"/>
      <c r="IV5" s="135"/>
    </row>
    <row r="6" spans="2:256" ht="15.75">
      <c r="B6" s="136"/>
      <c r="C6" s="136"/>
      <c r="D6" s="136"/>
      <c r="E6" s="136"/>
      <c r="F6" s="136"/>
      <c r="G6" s="136"/>
      <c r="H6" s="136"/>
      <c r="I6" s="136"/>
      <c r="J6" s="136"/>
      <c r="K6" s="136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  <c r="IK6" s="135"/>
      <c r="IL6" s="135"/>
      <c r="IM6" s="135"/>
      <c r="IN6" s="135"/>
      <c r="IO6" s="135"/>
      <c r="IP6" s="135"/>
      <c r="IQ6" s="135"/>
      <c r="IR6" s="135"/>
      <c r="IS6" s="135"/>
      <c r="IT6" s="135"/>
      <c r="IU6" s="135"/>
      <c r="IV6" s="135"/>
    </row>
    <row r="7" spans="1:256" ht="18.75">
      <c r="A7" s="179" t="s">
        <v>969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</row>
    <row r="8" spans="1:256" ht="18.75">
      <c r="A8" s="179" t="s">
        <v>970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  <c r="IT8" s="135"/>
      <c r="IU8" s="135"/>
      <c r="IV8" s="135"/>
    </row>
    <row r="9" spans="11:256" ht="15.75">
      <c r="K9" s="137" t="s">
        <v>971</v>
      </c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</row>
    <row r="10" spans="1:256" ht="15.75">
      <c r="A10" s="138"/>
      <c r="B10" s="139"/>
      <c r="C10" s="140"/>
      <c r="D10" s="140"/>
      <c r="E10" s="140"/>
      <c r="F10" s="140"/>
      <c r="G10" s="140"/>
      <c r="H10" s="140"/>
      <c r="I10" s="140"/>
      <c r="J10" s="140"/>
      <c r="K10" s="136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  <c r="IT10" s="135"/>
      <c r="IU10" s="135"/>
      <c r="IV10" s="135"/>
    </row>
    <row r="11" spans="1:256" ht="15.75">
      <c r="A11" s="180" t="s">
        <v>972</v>
      </c>
      <c r="B11" s="180" t="s">
        <v>973</v>
      </c>
      <c r="C11" s="182" t="s">
        <v>974</v>
      </c>
      <c r="D11" s="183"/>
      <c r="E11" s="183"/>
      <c r="F11" s="183"/>
      <c r="G11" s="183"/>
      <c r="H11" s="183"/>
      <c r="I11" s="183"/>
      <c r="J11" s="184"/>
      <c r="K11" s="180" t="s">
        <v>719</v>
      </c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  <c r="IJ11" s="135"/>
      <c r="IK11" s="135"/>
      <c r="IL11" s="135"/>
      <c r="IM11" s="135"/>
      <c r="IN11" s="135"/>
      <c r="IO11" s="135"/>
      <c r="IP11" s="135"/>
      <c r="IQ11" s="135"/>
      <c r="IR11" s="135"/>
      <c r="IS11" s="135"/>
      <c r="IT11" s="135"/>
      <c r="IU11" s="135"/>
      <c r="IV11" s="135"/>
    </row>
    <row r="12" spans="1:256" ht="15.75">
      <c r="A12" s="181"/>
      <c r="B12" s="181"/>
      <c r="C12" s="185"/>
      <c r="D12" s="186"/>
      <c r="E12" s="186"/>
      <c r="F12" s="186"/>
      <c r="G12" s="186"/>
      <c r="H12" s="186"/>
      <c r="I12" s="186"/>
      <c r="J12" s="187"/>
      <c r="K12" s="181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  <c r="IQ12" s="135"/>
      <c r="IR12" s="135"/>
      <c r="IS12" s="135"/>
      <c r="IT12" s="135"/>
      <c r="IU12" s="135"/>
      <c r="IV12" s="135"/>
    </row>
    <row r="13" spans="1:256" ht="31.5">
      <c r="A13" s="141">
        <v>1</v>
      </c>
      <c r="B13" s="142" t="s">
        <v>975</v>
      </c>
      <c r="C13" s="143" t="s">
        <v>713</v>
      </c>
      <c r="D13" s="143" t="s">
        <v>2</v>
      </c>
      <c r="E13" s="143" t="s">
        <v>5</v>
      </c>
      <c r="F13" s="143" t="s">
        <v>3</v>
      </c>
      <c r="G13" s="143" t="s">
        <v>3</v>
      </c>
      <c r="H13" s="143" t="s">
        <v>3</v>
      </c>
      <c r="I13" s="143" t="s">
        <v>976</v>
      </c>
      <c r="J13" s="143" t="s">
        <v>1</v>
      </c>
      <c r="K13" s="144">
        <f>K14-K16</f>
        <v>0</v>
      </c>
      <c r="M13" s="14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  <c r="IR13" s="135"/>
      <c r="IS13" s="135"/>
      <c r="IT13" s="135"/>
      <c r="IU13" s="135"/>
      <c r="IV13" s="135"/>
    </row>
    <row r="14" spans="1:256" ht="47.25">
      <c r="A14" s="146" t="s">
        <v>977</v>
      </c>
      <c r="B14" s="147" t="s">
        <v>978</v>
      </c>
      <c r="C14" s="148" t="s">
        <v>713</v>
      </c>
      <c r="D14" s="148" t="s">
        <v>2</v>
      </c>
      <c r="E14" s="148" t="s">
        <v>5</v>
      </c>
      <c r="F14" s="148" t="s">
        <v>3</v>
      </c>
      <c r="G14" s="148" t="s">
        <v>3</v>
      </c>
      <c r="H14" s="148" t="s">
        <v>3</v>
      </c>
      <c r="I14" s="148" t="s">
        <v>976</v>
      </c>
      <c r="J14" s="148" t="s">
        <v>413</v>
      </c>
      <c r="K14" s="149">
        <f>K15</f>
        <v>148600000</v>
      </c>
      <c r="M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  <c r="IR14" s="135"/>
      <c r="IS14" s="135"/>
      <c r="IT14" s="135"/>
      <c r="IU14" s="135"/>
      <c r="IV14" s="135"/>
    </row>
    <row r="15" spans="1:256" ht="63">
      <c r="A15" s="150"/>
      <c r="B15" s="147" t="s">
        <v>979</v>
      </c>
      <c r="C15" s="148" t="s">
        <v>713</v>
      </c>
      <c r="D15" s="148" t="s">
        <v>2</v>
      </c>
      <c r="E15" s="148" t="s">
        <v>5</v>
      </c>
      <c r="F15" s="148" t="s">
        <v>3</v>
      </c>
      <c r="G15" s="148" t="s">
        <v>3</v>
      </c>
      <c r="H15" s="148" t="s">
        <v>22</v>
      </c>
      <c r="I15" s="148" t="s">
        <v>976</v>
      </c>
      <c r="J15" s="148" t="s">
        <v>980</v>
      </c>
      <c r="K15" s="151">
        <f>96800000+51800000</f>
        <v>148600000</v>
      </c>
      <c r="M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5"/>
      <c r="IC15" s="135"/>
      <c r="ID15" s="135"/>
      <c r="IE15" s="135"/>
      <c r="IF15" s="135"/>
      <c r="IG15" s="135"/>
      <c r="IH15" s="135"/>
      <c r="II15" s="135"/>
      <c r="IJ15" s="135"/>
      <c r="IK15" s="135"/>
      <c r="IL15" s="135"/>
      <c r="IM15" s="135"/>
      <c r="IN15" s="135"/>
      <c r="IO15" s="135"/>
      <c r="IP15" s="135"/>
      <c r="IQ15" s="135"/>
      <c r="IR15" s="135"/>
      <c r="IS15" s="135"/>
      <c r="IT15" s="135"/>
      <c r="IU15" s="135"/>
      <c r="IV15" s="135"/>
    </row>
    <row r="16" spans="1:256" ht="63">
      <c r="A16" s="146" t="s">
        <v>981</v>
      </c>
      <c r="B16" s="147" t="s">
        <v>982</v>
      </c>
      <c r="C16" s="148" t="s">
        <v>713</v>
      </c>
      <c r="D16" s="148" t="s">
        <v>2</v>
      </c>
      <c r="E16" s="148" t="s">
        <v>5</v>
      </c>
      <c r="F16" s="148" t="s">
        <v>3</v>
      </c>
      <c r="G16" s="148" t="s">
        <v>3</v>
      </c>
      <c r="H16" s="148" t="s">
        <v>3</v>
      </c>
      <c r="I16" s="148" t="s">
        <v>976</v>
      </c>
      <c r="J16" s="148" t="s">
        <v>65</v>
      </c>
      <c r="K16" s="149">
        <f>K17</f>
        <v>148600000</v>
      </c>
      <c r="M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  <c r="IH16" s="135"/>
      <c r="II16" s="135"/>
      <c r="IJ16" s="135"/>
      <c r="IK16" s="135"/>
      <c r="IL16" s="135"/>
      <c r="IM16" s="135"/>
      <c r="IN16" s="135"/>
      <c r="IO16" s="135"/>
      <c r="IP16" s="135"/>
      <c r="IQ16" s="135"/>
      <c r="IR16" s="135"/>
      <c r="IS16" s="135"/>
      <c r="IT16" s="135"/>
      <c r="IU16" s="135"/>
      <c r="IV16" s="135"/>
    </row>
    <row r="17" spans="1:256" ht="63">
      <c r="A17" s="150"/>
      <c r="B17" s="147" t="s">
        <v>983</v>
      </c>
      <c r="C17" s="148" t="s">
        <v>713</v>
      </c>
      <c r="D17" s="148" t="s">
        <v>2</v>
      </c>
      <c r="E17" s="148" t="s">
        <v>5</v>
      </c>
      <c r="F17" s="148" t="s">
        <v>3</v>
      </c>
      <c r="G17" s="148" t="s">
        <v>3</v>
      </c>
      <c r="H17" s="148" t="s">
        <v>22</v>
      </c>
      <c r="I17" s="148" t="s">
        <v>976</v>
      </c>
      <c r="J17" s="148" t="s">
        <v>984</v>
      </c>
      <c r="K17" s="151">
        <f>96800000+51800000</f>
        <v>148600000</v>
      </c>
      <c r="M17" s="152" t="s">
        <v>985</v>
      </c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  <c r="IB17" s="135"/>
      <c r="IC17" s="135"/>
      <c r="ID17" s="135"/>
      <c r="IE17" s="135"/>
      <c r="IF17" s="135"/>
      <c r="IG17" s="135"/>
      <c r="IH17" s="135"/>
      <c r="II17" s="135"/>
      <c r="IJ17" s="135"/>
      <c r="IK17" s="135"/>
      <c r="IL17" s="135"/>
      <c r="IM17" s="135"/>
      <c r="IN17" s="135"/>
      <c r="IO17" s="135"/>
      <c r="IP17" s="135"/>
      <c r="IQ17" s="135"/>
      <c r="IR17" s="135"/>
      <c r="IS17" s="135"/>
      <c r="IT17" s="135"/>
      <c r="IU17" s="135"/>
      <c r="IV17" s="135"/>
    </row>
    <row r="18" spans="1:256" ht="47.25">
      <c r="A18" s="141">
        <v>2</v>
      </c>
      <c r="B18" s="142" t="s">
        <v>986</v>
      </c>
      <c r="C18" s="143" t="s">
        <v>713</v>
      </c>
      <c r="D18" s="143" t="s">
        <v>2</v>
      </c>
      <c r="E18" s="143" t="s">
        <v>14</v>
      </c>
      <c r="F18" s="143" t="s">
        <v>3</v>
      </c>
      <c r="G18" s="143" t="s">
        <v>3</v>
      </c>
      <c r="H18" s="143" t="s">
        <v>3</v>
      </c>
      <c r="I18" s="143" t="s">
        <v>976</v>
      </c>
      <c r="J18" s="143" t="s">
        <v>1</v>
      </c>
      <c r="K18" s="153">
        <f>K19</f>
        <v>0</v>
      </c>
      <c r="M18" s="152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  <c r="IN18" s="135"/>
      <c r="IO18" s="135"/>
      <c r="IP18" s="135"/>
      <c r="IQ18" s="135"/>
      <c r="IR18" s="135"/>
      <c r="IS18" s="135"/>
      <c r="IT18" s="135"/>
      <c r="IU18" s="135"/>
      <c r="IV18" s="135"/>
    </row>
    <row r="19" spans="1:13" ht="63">
      <c r="A19" s="154" t="s">
        <v>987</v>
      </c>
      <c r="B19" s="142" t="s">
        <v>988</v>
      </c>
      <c r="C19" s="143" t="s">
        <v>713</v>
      </c>
      <c r="D19" s="143" t="s">
        <v>2</v>
      </c>
      <c r="E19" s="143" t="s">
        <v>14</v>
      </c>
      <c r="F19" s="143" t="s">
        <v>2</v>
      </c>
      <c r="G19" s="143" t="s">
        <v>3</v>
      </c>
      <c r="H19" s="143" t="s">
        <v>3</v>
      </c>
      <c r="I19" s="143" t="s">
        <v>976</v>
      </c>
      <c r="J19" s="143" t="s">
        <v>1</v>
      </c>
      <c r="K19" s="153">
        <f>K20-K22</f>
        <v>0</v>
      </c>
      <c r="M19" s="152"/>
    </row>
    <row r="20" spans="1:13" ht="63">
      <c r="A20" s="146" t="s">
        <v>989</v>
      </c>
      <c r="B20" s="147" t="s">
        <v>990</v>
      </c>
      <c r="C20" s="148" t="s">
        <v>713</v>
      </c>
      <c r="D20" s="148" t="s">
        <v>2</v>
      </c>
      <c r="E20" s="148" t="s">
        <v>14</v>
      </c>
      <c r="F20" s="148" t="s">
        <v>2</v>
      </c>
      <c r="G20" s="148" t="s">
        <v>3</v>
      </c>
      <c r="H20" s="148" t="s">
        <v>3</v>
      </c>
      <c r="I20" s="148" t="s">
        <v>976</v>
      </c>
      <c r="J20" s="148" t="s">
        <v>413</v>
      </c>
      <c r="K20" s="155">
        <f>K21</f>
        <v>45000000</v>
      </c>
      <c r="M20" s="152"/>
    </row>
    <row r="21" spans="1:13" ht="78.75">
      <c r="A21" s="150"/>
      <c r="B21" s="147" t="s">
        <v>991</v>
      </c>
      <c r="C21" s="148" t="s">
        <v>713</v>
      </c>
      <c r="D21" s="148" t="s">
        <v>2</v>
      </c>
      <c r="E21" s="148" t="s">
        <v>14</v>
      </c>
      <c r="F21" s="148" t="s">
        <v>2</v>
      </c>
      <c r="G21" s="148" t="s">
        <v>3</v>
      </c>
      <c r="H21" s="148" t="s">
        <v>22</v>
      </c>
      <c r="I21" s="148" t="s">
        <v>976</v>
      </c>
      <c r="J21" s="148" t="s">
        <v>980</v>
      </c>
      <c r="K21" s="155">
        <v>45000000</v>
      </c>
      <c r="M21" s="152"/>
    </row>
    <row r="22" spans="1:13" ht="63">
      <c r="A22" s="146" t="s">
        <v>992</v>
      </c>
      <c r="B22" s="147" t="s">
        <v>993</v>
      </c>
      <c r="C22" s="148" t="s">
        <v>713</v>
      </c>
      <c r="D22" s="148" t="s">
        <v>2</v>
      </c>
      <c r="E22" s="148" t="s">
        <v>14</v>
      </c>
      <c r="F22" s="148" t="s">
        <v>2</v>
      </c>
      <c r="G22" s="148" t="s">
        <v>3</v>
      </c>
      <c r="H22" s="148" t="s">
        <v>3</v>
      </c>
      <c r="I22" s="148" t="s">
        <v>976</v>
      </c>
      <c r="J22" s="148" t="s">
        <v>65</v>
      </c>
      <c r="K22" s="156">
        <f>K23</f>
        <v>45000000</v>
      </c>
      <c r="M22" s="152"/>
    </row>
    <row r="23" spans="1:13" ht="78.75">
      <c r="A23" s="150"/>
      <c r="B23" s="147" t="s">
        <v>994</v>
      </c>
      <c r="C23" s="148" t="s">
        <v>713</v>
      </c>
      <c r="D23" s="148" t="s">
        <v>2</v>
      </c>
      <c r="E23" s="148" t="s">
        <v>14</v>
      </c>
      <c r="F23" s="148" t="s">
        <v>2</v>
      </c>
      <c r="G23" s="148" t="s">
        <v>3</v>
      </c>
      <c r="H23" s="148" t="s">
        <v>22</v>
      </c>
      <c r="I23" s="148" t="s">
        <v>976</v>
      </c>
      <c r="J23" s="148" t="s">
        <v>984</v>
      </c>
      <c r="K23" s="156">
        <v>45000000</v>
      </c>
      <c r="M23" s="152"/>
    </row>
    <row r="24" spans="1:256" ht="47.25" hidden="1">
      <c r="A24" s="141">
        <v>3</v>
      </c>
      <c r="B24" s="142" t="s">
        <v>995</v>
      </c>
      <c r="C24" s="143" t="s">
        <v>713</v>
      </c>
      <c r="D24" s="143" t="s">
        <v>2</v>
      </c>
      <c r="E24" s="143" t="s">
        <v>60</v>
      </c>
      <c r="F24" s="143" t="s">
        <v>3</v>
      </c>
      <c r="G24" s="143" t="s">
        <v>3</v>
      </c>
      <c r="H24" s="143" t="s">
        <v>3</v>
      </c>
      <c r="I24" s="143" t="s">
        <v>976</v>
      </c>
      <c r="J24" s="143" t="s">
        <v>1</v>
      </c>
      <c r="K24" s="145">
        <f>K25</f>
        <v>0</v>
      </c>
      <c r="L24" s="157"/>
      <c r="M24" s="152"/>
      <c r="N24" s="157"/>
      <c r="O24" s="157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  <c r="FT24" s="158"/>
      <c r="FU24" s="158"/>
      <c r="FV24" s="158"/>
      <c r="FW24" s="158"/>
      <c r="FX24" s="158"/>
      <c r="FY24" s="158"/>
      <c r="FZ24" s="158"/>
      <c r="GA24" s="158"/>
      <c r="GB24" s="158"/>
      <c r="GC24" s="158"/>
      <c r="GD24" s="158"/>
      <c r="GE24" s="158"/>
      <c r="GF24" s="158"/>
      <c r="GG24" s="158"/>
      <c r="GH24" s="158"/>
      <c r="GI24" s="158"/>
      <c r="GJ24" s="158"/>
      <c r="GK24" s="158"/>
      <c r="GL24" s="158"/>
      <c r="GM24" s="158"/>
      <c r="GN24" s="158"/>
      <c r="GO24" s="158"/>
      <c r="GP24" s="158"/>
      <c r="GQ24" s="158"/>
      <c r="GR24" s="158"/>
      <c r="GS24" s="158"/>
      <c r="GT24" s="158"/>
      <c r="GU24" s="158"/>
      <c r="GV24" s="158"/>
      <c r="GW24" s="158"/>
      <c r="GX24" s="158"/>
      <c r="GY24" s="158"/>
      <c r="GZ24" s="158"/>
      <c r="HA24" s="158"/>
      <c r="HB24" s="158"/>
      <c r="HC24" s="158"/>
      <c r="HD24" s="158"/>
      <c r="HE24" s="158"/>
      <c r="HF24" s="158"/>
      <c r="HG24" s="158"/>
      <c r="HH24" s="158"/>
      <c r="HI24" s="158"/>
      <c r="HJ24" s="158"/>
      <c r="HK24" s="158"/>
      <c r="HL24" s="158"/>
      <c r="HM24" s="158"/>
      <c r="HN24" s="158"/>
      <c r="HO24" s="158"/>
      <c r="HP24" s="158"/>
      <c r="HQ24" s="158"/>
      <c r="HR24" s="158"/>
      <c r="HS24" s="158"/>
      <c r="HT24" s="158"/>
      <c r="HU24" s="158"/>
      <c r="HV24" s="158"/>
      <c r="HW24" s="158"/>
      <c r="HX24" s="158"/>
      <c r="HY24" s="158"/>
      <c r="HZ24" s="158"/>
      <c r="IA24" s="158"/>
      <c r="IB24" s="158"/>
      <c r="IC24" s="158"/>
      <c r="ID24" s="158"/>
      <c r="IE24" s="158"/>
      <c r="IF24" s="158"/>
      <c r="IG24" s="158"/>
      <c r="IH24" s="158"/>
      <c r="II24" s="158"/>
      <c r="IJ24" s="158"/>
      <c r="IK24" s="158"/>
      <c r="IL24" s="158"/>
      <c r="IM24" s="158"/>
      <c r="IN24" s="158"/>
      <c r="IO24" s="158"/>
      <c r="IP24" s="158"/>
      <c r="IQ24" s="158"/>
      <c r="IR24" s="158"/>
      <c r="IS24" s="158"/>
      <c r="IT24" s="158"/>
      <c r="IU24" s="158"/>
      <c r="IV24" s="158"/>
    </row>
    <row r="25" spans="1:256" ht="47.25" hidden="1">
      <c r="A25" s="159" t="s">
        <v>996</v>
      </c>
      <c r="B25" s="147" t="s">
        <v>997</v>
      </c>
      <c r="C25" s="148" t="s">
        <v>713</v>
      </c>
      <c r="D25" s="148" t="s">
        <v>2</v>
      </c>
      <c r="E25" s="148" t="s">
        <v>60</v>
      </c>
      <c r="F25" s="148" t="s">
        <v>159</v>
      </c>
      <c r="G25" s="148" t="s">
        <v>3</v>
      </c>
      <c r="H25" s="148" t="s">
        <v>3</v>
      </c>
      <c r="I25" s="148" t="s">
        <v>976</v>
      </c>
      <c r="J25" s="148" t="s">
        <v>1</v>
      </c>
      <c r="K25" s="156">
        <f>K26</f>
        <v>0</v>
      </c>
      <c r="L25" s="157"/>
      <c r="M25" s="152"/>
      <c r="N25" s="157"/>
      <c r="O25" s="157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  <c r="FT25" s="158"/>
      <c r="FU25" s="158"/>
      <c r="FV25" s="158"/>
      <c r="FW25" s="158"/>
      <c r="FX25" s="158"/>
      <c r="FY25" s="158"/>
      <c r="FZ25" s="158"/>
      <c r="GA25" s="158"/>
      <c r="GB25" s="158"/>
      <c r="GC25" s="158"/>
      <c r="GD25" s="158"/>
      <c r="GE25" s="158"/>
      <c r="GF25" s="158"/>
      <c r="GG25" s="158"/>
      <c r="GH25" s="158"/>
      <c r="GI25" s="158"/>
      <c r="GJ25" s="158"/>
      <c r="GK25" s="158"/>
      <c r="GL25" s="158"/>
      <c r="GM25" s="158"/>
      <c r="GN25" s="158"/>
      <c r="GO25" s="158"/>
      <c r="GP25" s="158"/>
      <c r="GQ25" s="158"/>
      <c r="GR25" s="158"/>
      <c r="GS25" s="158"/>
      <c r="GT25" s="158"/>
      <c r="GU25" s="158"/>
      <c r="GV25" s="158"/>
      <c r="GW25" s="158"/>
      <c r="GX25" s="158"/>
      <c r="GY25" s="158"/>
      <c r="GZ25" s="158"/>
      <c r="HA25" s="158"/>
      <c r="HB25" s="158"/>
      <c r="HC25" s="158"/>
      <c r="HD25" s="158"/>
      <c r="HE25" s="158"/>
      <c r="HF25" s="158"/>
      <c r="HG25" s="158"/>
      <c r="HH25" s="158"/>
      <c r="HI25" s="158"/>
      <c r="HJ25" s="158"/>
      <c r="HK25" s="158"/>
      <c r="HL25" s="158"/>
      <c r="HM25" s="158"/>
      <c r="HN25" s="158"/>
      <c r="HO25" s="158"/>
      <c r="HP25" s="158"/>
      <c r="HQ25" s="158"/>
      <c r="HR25" s="158"/>
      <c r="HS25" s="158"/>
      <c r="HT25" s="158"/>
      <c r="HU25" s="158"/>
      <c r="HV25" s="158"/>
      <c r="HW25" s="158"/>
      <c r="HX25" s="158"/>
      <c r="HY25" s="158"/>
      <c r="HZ25" s="158"/>
      <c r="IA25" s="158"/>
      <c r="IB25" s="158"/>
      <c r="IC25" s="158"/>
      <c r="ID25" s="158"/>
      <c r="IE25" s="158"/>
      <c r="IF25" s="158"/>
      <c r="IG25" s="158"/>
      <c r="IH25" s="158"/>
      <c r="II25" s="158"/>
      <c r="IJ25" s="158"/>
      <c r="IK25" s="158"/>
      <c r="IL25" s="158"/>
      <c r="IM25" s="158"/>
      <c r="IN25" s="158"/>
      <c r="IO25" s="158"/>
      <c r="IP25" s="158"/>
      <c r="IQ25" s="158"/>
      <c r="IR25" s="158"/>
      <c r="IS25" s="158"/>
      <c r="IT25" s="158"/>
      <c r="IU25" s="158"/>
      <c r="IV25" s="158"/>
    </row>
    <row r="26" spans="1:13" ht="47.25" hidden="1">
      <c r="A26" s="150"/>
      <c r="B26" s="147" t="s">
        <v>998</v>
      </c>
      <c r="C26" s="148" t="s">
        <v>713</v>
      </c>
      <c r="D26" s="148" t="s">
        <v>2</v>
      </c>
      <c r="E26" s="148" t="s">
        <v>60</v>
      </c>
      <c r="F26" s="148" t="s">
        <v>159</v>
      </c>
      <c r="G26" s="148" t="s">
        <v>3</v>
      </c>
      <c r="H26" s="148" t="s">
        <v>3</v>
      </c>
      <c r="I26" s="148" t="s">
        <v>976</v>
      </c>
      <c r="J26" s="148" t="s">
        <v>70</v>
      </c>
      <c r="K26" s="156">
        <f>K27</f>
        <v>0</v>
      </c>
      <c r="M26" s="152"/>
    </row>
    <row r="27" spans="1:13" ht="63" hidden="1">
      <c r="A27" s="150"/>
      <c r="B27" s="147" t="s">
        <v>999</v>
      </c>
      <c r="C27" s="148" t="s">
        <v>713</v>
      </c>
      <c r="D27" s="148" t="s">
        <v>2</v>
      </c>
      <c r="E27" s="148" t="s">
        <v>60</v>
      </c>
      <c r="F27" s="148" t="s">
        <v>159</v>
      </c>
      <c r="G27" s="148" t="s">
        <v>2</v>
      </c>
      <c r="H27" s="148" t="s">
        <v>3</v>
      </c>
      <c r="I27" s="148" t="s">
        <v>976</v>
      </c>
      <c r="J27" s="148" t="s">
        <v>1000</v>
      </c>
      <c r="K27" s="156">
        <f>K28</f>
        <v>0</v>
      </c>
      <c r="M27" s="152"/>
    </row>
    <row r="28" spans="1:13" ht="78.75" hidden="1">
      <c r="A28" s="150"/>
      <c r="B28" s="147" t="s">
        <v>1001</v>
      </c>
      <c r="C28" s="148" t="s">
        <v>713</v>
      </c>
      <c r="D28" s="148" t="s">
        <v>2</v>
      </c>
      <c r="E28" s="148" t="s">
        <v>60</v>
      </c>
      <c r="F28" s="148" t="s">
        <v>159</v>
      </c>
      <c r="G28" s="148" t="s">
        <v>2</v>
      </c>
      <c r="H28" s="148" t="s">
        <v>22</v>
      </c>
      <c r="I28" s="148" t="s">
        <v>976</v>
      </c>
      <c r="J28" s="148" t="s">
        <v>1000</v>
      </c>
      <c r="K28" s="156">
        <v>0</v>
      </c>
      <c r="M28" s="152"/>
    </row>
    <row r="29" spans="1:256" ht="31.5">
      <c r="A29" s="154" t="s">
        <v>1002</v>
      </c>
      <c r="B29" s="160" t="s">
        <v>1003</v>
      </c>
      <c r="C29" s="161" t="s">
        <v>713</v>
      </c>
      <c r="D29" s="161" t="s">
        <v>2</v>
      </c>
      <c r="E29" s="161" t="s">
        <v>159</v>
      </c>
      <c r="F29" s="161" t="s">
        <v>3</v>
      </c>
      <c r="G29" s="161" t="s">
        <v>3</v>
      </c>
      <c r="H29" s="161" t="s">
        <v>3</v>
      </c>
      <c r="I29" s="161" t="s">
        <v>976</v>
      </c>
      <c r="J29" s="161" t="s">
        <v>1</v>
      </c>
      <c r="K29" s="162">
        <f>K34-K30</f>
        <v>35544448.130000114</v>
      </c>
      <c r="L29" s="163" t="s">
        <v>1004</v>
      </c>
      <c r="M29" s="164">
        <f>41594711.39-6460991.37</f>
        <v>35133720.02</v>
      </c>
      <c r="N29" s="165"/>
      <c r="O29" s="165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  <c r="HQ29" s="166"/>
      <c r="HR29" s="166"/>
      <c r="HS29" s="166"/>
      <c r="HT29" s="166"/>
      <c r="HU29" s="166"/>
      <c r="HV29" s="166"/>
      <c r="HW29" s="166"/>
      <c r="HX29" s="166"/>
      <c r="HY29" s="166"/>
      <c r="HZ29" s="166"/>
      <c r="IA29" s="166"/>
      <c r="IB29" s="166"/>
      <c r="IC29" s="166"/>
      <c r="ID29" s="166"/>
      <c r="IE29" s="166"/>
      <c r="IF29" s="166"/>
      <c r="IG29" s="166"/>
      <c r="IH29" s="166"/>
      <c r="II29" s="166"/>
      <c r="IJ29" s="166"/>
      <c r="IK29" s="166"/>
      <c r="IL29" s="166"/>
      <c r="IM29" s="166"/>
      <c r="IN29" s="166"/>
      <c r="IO29" s="166"/>
      <c r="IP29" s="166"/>
      <c r="IQ29" s="166"/>
      <c r="IR29" s="166"/>
      <c r="IS29" s="166"/>
      <c r="IT29" s="166"/>
      <c r="IU29" s="166"/>
      <c r="IV29" s="166"/>
    </row>
    <row r="30" spans="1:256" ht="31.5">
      <c r="A30" s="154" t="s">
        <v>996</v>
      </c>
      <c r="B30" s="160" t="s">
        <v>1005</v>
      </c>
      <c r="C30" s="161" t="s">
        <v>713</v>
      </c>
      <c r="D30" s="161" t="s">
        <v>2</v>
      </c>
      <c r="E30" s="161" t="s">
        <v>159</v>
      </c>
      <c r="F30" s="161" t="s">
        <v>3</v>
      </c>
      <c r="G30" s="161" t="s">
        <v>3</v>
      </c>
      <c r="H30" s="161" t="s">
        <v>3</v>
      </c>
      <c r="I30" s="161" t="s">
        <v>976</v>
      </c>
      <c r="J30" s="161" t="s">
        <v>1006</v>
      </c>
      <c r="K30" s="162">
        <f>K31</f>
        <v>2482169942.76</v>
      </c>
      <c r="L30" s="163" t="s">
        <v>1007</v>
      </c>
      <c r="M30" s="152">
        <f>K29-M29</f>
        <v>410728.11000011116</v>
      </c>
      <c r="N30" s="165"/>
      <c r="O30" s="165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6"/>
      <c r="FF30" s="166"/>
      <c r="FG30" s="166"/>
      <c r="FH30" s="166"/>
      <c r="FI30" s="166"/>
      <c r="FJ30" s="166"/>
      <c r="FK30" s="166"/>
      <c r="FL30" s="166"/>
      <c r="FM30" s="166"/>
      <c r="FN30" s="166"/>
      <c r="FO30" s="166"/>
      <c r="FP30" s="166"/>
      <c r="FQ30" s="166"/>
      <c r="FR30" s="166"/>
      <c r="FS30" s="166"/>
      <c r="FT30" s="166"/>
      <c r="FU30" s="166"/>
      <c r="FV30" s="166"/>
      <c r="FW30" s="166"/>
      <c r="FX30" s="166"/>
      <c r="FY30" s="166"/>
      <c r="FZ30" s="166"/>
      <c r="GA30" s="166"/>
      <c r="GB30" s="166"/>
      <c r="GC30" s="166"/>
      <c r="GD30" s="166"/>
      <c r="GE30" s="166"/>
      <c r="GF30" s="166"/>
      <c r="GG30" s="166"/>
      <c r="GH30" s="166"/>
      <c r="GI30" s="166"/>
      <c r="GJ30" s="166"/>
      <c r="GK30" s="166"/>
      <c r="GL30" s="166"/>
      <c r="GM30" s="166"/>
      <c r="GN30" s="166"/>
      <c r="GO30" s="166"/>
      <c r="GP30" s="166"/>
      <c r="GQ30" s="166"/>
      <c r="GR30" s="166"/>
      <c r="GS30" s="166"/>
      <c r="GT30" s="166"/>
      <c r="GU30" s="166"/>
      <c r="GV30" s="166"/>
      <c r="GW30" s="166"/>
      <c r="GX30" s="166"/>
      <c r="GY30" s="166"/>
      <c r="GZ30" s="166"/>
      <c r="HA30" s="166"/>
      <c r="HB30" s="166"/>
      <c r="HC30" s="166"/>
      <c r="HD30" s="166"/>
      <c r="HE30" s="166"/>
      <c r="HF30" s="166"/>
      <c r="HG30" s="166"/>
      <c r="HH30" s="166"/>
      <c r="HI30" s="166"/>
      <c r="HJ30" s="166"/>
      <c r="HK30" s="166"/>
      <c r="HL30" s="166"/>
      <c r="HM30" s="166"/>
      <c r="HN30" s="166"/>
      <c r="HO30" s="166"/>
      <c r="HP30" s="166"/>
      <c r="HQ30" s="166"/>
      <c r="HR30" s="166"/>
      <c r="HS30" s="166"/>
      <c r="HT30" s="166"/>
      <c r="HU30" s="166"/>
      <c r="HV30" s="166"/>
      <c r="HW30" s="166"/>
      <c r="HX30" s="166"/>
      <c r="HY30" s="166"/>
      <c r="HZ30" s="166"/>
      <c r="IA30" s="166"/>
      <c r="IB30" s="166"/>
      <c r="IC30" s="166"/>
      <c r="ID30" s="166"/>
      <c r="IE30" s="166"/>
      <c r="IF30" s="166"/>
      <c r="IG30" s="166"/>
      <c r="IH30" s="166"/>
      <c r="II30" s="166"/>
      <c r="IJ30" s="166"/>
      <c r="IK30" s="166"/>
      <c r="IL30" s="166"/>
      <c r="IM30" s="166"/>
      <c r="IN30" s="166"/>
      <c r="IO30" s="166"/>
      <c r="IP30" s="166"/>
      <c r="IQ30" s="166"/>
      <c r="IR30" s="166"/>
      <c r="IS30" s="166"/>
      <c r="IT30" s="166"/>
      <c r="IU30" s="166"/>
      <c r="IV30" s="166"/>
    </row>
    <row r="31" spans="1:256" ht="31.5">
      <c r="A31" s="146"/>
      <c r="B31" s="167" t="s">
        <v>1008</v>
      </c>
      <c r="C31" s="146" t="s">
        <v>713</v>
      </c>
      <c r="D31" s="146" t="s">
        <v>2</v>
      </c>
      <c r="E31" s="146" t="s">
        <v>159</v>
      </c>
      <c r="F31" s="146" t="s">
        <v>5</v>
      </c>
      <c r="G31" s="146" t="s">
        <v>3</v>
      </c>
      <c r="H31" s="146" t="s">
        <v>3</v>
      </c>
      <c r="I31" s="146" t="s">
        <v>976</v>
      </c>
      <c r="J31" s="146" t="s">
        <v>1006</v>
      </c>
      <c r="K31" s="168">
        <f>K32</f>
        <v>2482169942.76</v>
      </c>
      <c r="L31" s="165"/>
      <c r="M31" s="169">
        <f>SUM(M29:M30)</f>
        <v>35544448.130000114</v>
      </c>
      <c r="N31" s="165"/>
      <c r="O31" s="165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66"/>
      <c r="EV31" s="166"/>
      <c r="EW31" s="166"/>
      <c r="EX31" s="166"/>
      <c r="EY31" s="166"/>
      <c r="EZ31" s="166"/>
      <c r="FA31" s="166"/>
      <c r="FB31" s="166"/>
      <c r="FC31" s="166"/>
      <c r="FD31" s="166"/>
      <c r="FE31" s="166"/>
      <c r="FF31" s="166"/>
      <c r="FG31" s="166"/>
      <c r="FH31" s="166"/>
      <c r="FI31" s="166"/>
      <c r="FJ31" s="166"/>
      <c r="FK31" s="166"/>
      <c r="FL31" s="166"/>
      <c r="FM31" s="166"/>
      <c r="FN31" s="166"/>
      <c r="FO31" s="166"/>
      <c r="FP31" s="166"/>
      <c r="FQ31" s="166"/>
      <c r="FR31" s="166"/>
      <c r="FS31" s="166"/>
      <c r="FT31" s="166"/>
      <c r="FU31" s="166"/>
      <c r="FV31" s="166"/>
      <c r="FW31" s="166"/>
      <c r="FX31" s="166"/>
      <c r="FY31" s="166"/>
      <c r="FZ31" s="166"/>
      <c r="GA31" s="166"/>
      <c r="GB31" s="166"/>
      <c r="GC31" s="166"/>
      <c r="GD31" s="166"/>
      <c r="GE31" s="166"/>
      <c r="GF31" s="166"/>
      <c r="GG31" s="166"/>
      <c r="GH31" s="166"/>
      <c r="GI31" s="166"/>
      <c r="GJ31" s="166"/>
      <c r="GK31" s="166"/>
      <c r="GL31" s="166"/>
      <c r="GM31" s="166"/>
      <c r="GN31" s="166"/>
      <c r="GO31" s="166"/>
      <c r="GP31" s="166"/>
      <c r="GQ31" s="166"/>
      <c r="GR31" s="166"/>
      <c r="GS31" s="166"/>
      <c r="GT31" s="166"/>
      <c r="GU31" s="166"/>
      <c r="GV31" s="166"/>
      <c r="GW31" s="166"/>
      <c r="GX31" s="166"/>
      <c r="GY31" s="166"/>
      <c r="GZ31" s="166"/>
      <c r="HA31" s="166"/>
      <c r="HB31" s="166"/>
      <c r="HC31" s="166"/>
      <c r="HD31" s="166"/>
      <c r="HE31" s="166"/>
      <c r="HF31" s="166"/>
      <c r="HG31" s="166"/>
      <c r="HH31" s="166"/>
      <c r="HI31" s="166"/>
      <c r="HJ31" s="166"/>
      <c r="HK31" s="166"/>
      <c r="HL31" s="166"/>
      <c r="HM31" s="166"/>
      <c r="HN31" s="166"/>
      <c r="HO31" s="166"/>
      <c r="HP31" s="166"/>
      <c r="HQ31" s="166"/>
      <c r="HR31" s="166"/>
      <c r="HS31" s="166"/>
      <c r="HT31" s="166"/>
      <c r="HU31" s="166"/>
      <c r="HV31" s="166"/>
      <c r="HW31" s="166"/>
      <c r="HX31" s="166"/>
      <c r="HY31" s="166"/>
      <c r="HZ31" s="166"/>
      <c r="IA31" s="166"/>
      <c r="IB31" s="166"/>
      <c r="IC31" s="166"/>
      <c r="ID31" s="166"/>
      <c r="IE31" s="166"/>
      <c r="IF31" s="166"/>
      <c r="IG31" s="166"/>
      <c r="IH31" s="166"/>
      <c r="II31" s="166"/>
      <c r="IJ31" s="166"/>
      <c r="IK31" s="166"/>
      <c r="IL31" s="166"/>
      <c r="IM31" s="166"/>
      <c r="IN31" s="166"/>
      <c r="IO31" s="166"/>
      <c r="IP31" s="166"/>
      <c r="IQ31" s="166"/>
      <c r="IR31" s="166"/>
      <c r="IS31" s="166"/>
      <c r="IT31" s="166"/>
      <c r="IU31" s="166"/>
      <c r="IV31" s="166"/>
    </row>
    <row r="32" spans="1:256" ht="31.5">
      <c r="A32" s="146"/>
      <c r="B32" s="167" t="s">
        <v>1009</v>
      </c>
      <c r="C32" s="146" t="s">
        <v>713</v>
      </c>
      <c r="D32" s="146" t="s">
        <v>2</v>
      </c>
      <c r="E32" s="146" t="s">
        <v>159</v>
      </c>
      <c r="F32" s="146" t="s">
        <v>5</v>
      </c>
      <c r="G32" s="146" t="s">
        <v>2</v>
      </c>
      <c r="H32" s="146" t="s">
        <v>3</v>
      </c>
      <c r="I32" s="146" t="s">
        <v>976</v>
      </c>
      <c r="J32" s="146" t="s">
        <v>1010</v>
      </c>
      <c r="K32" s="168">
        <f>K33</f>
        <v>2482169942.76</v>
      </c>
      <c r="L32" s="165"/>
      <c r="M32" s="135"/>
      <c r="N32" s="165"/>
      <c r="O32" s="165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6"/>
      <c r="EW32" s="166"/>
      <c r="EX32" s="166"/>
      <c r="EY32" s="166"/>
      <c r="EZ32" s="166"/>
      <c r="FA32" s="166"/>
      <c r="FB32" s="166"/>
      <c r="FC32" s="166"/>
      <c r="FD32" s="166"/>
      <c r="FE32" s="166"/>
      <c r="FF32" s="166"/>
      <c r="FG32" s="166"/>
      <c r="FH32" s="166"/>
      <c r="FI32" s="166"/>
      <c r="FJ32" s="166"/>
      <c r="FK32" s="166"/>
      <c r="FL32" s="166"/>
      <c r="FM32" s="166"/>
      <c r="FN32" s="166"/>
      <c r="FO32" s="166"/>
      <c r="FP32" s="166"/>
      <c r="FQ32" s="166"/>
      <c r="FR32" s="166"/>
      <c r="FS32" s="166"/>
      <c r="FT32" s="166"/>
      <c r="FU32" s="166"/>
      <c r="FV32" s="166"/>
      <c r="FW32" s="166"/>
      <c r="FX32" s="166"/>
      <c r="FY32" s="166"/>
      <c r="FZ32" s="166"/>
      <c r="GA32" s="166"/>
      <c r="GB32" s="166"/>
      <c r="GC32" s="166"/>
      <c r="GD32" s="166"/>
      <c r="GE32" s="166"/>
      <c r="GF32" s="166"/>
      <c r="GG32" s="166"/>
      <c r="GH32" s="166"/>
      <c r="GI32" s="166"/>
      <c r="GJ32" s="166"/>
      <c r="GK32" s="166"/>
      <c r="GL32" s="166"/>
      <c r="GM32" s="166"/>
      <c r="GN32" s="166"/>
      <c r="GO32" s="166"/>
      <c r="GP32" s="166"/>
      <c r="GQ32" s="166"/>
      <c r="GR32" s="166"/>
      <c r="GS32" s="166"/>
      <c r="GT32" s="166"/>
      <c r="GU32" s="166"/>
      <c r="GV32" s="166"/>
      <c r="GW32" s="166"/>
      <c r="GX32" s="166"/>
      <c r="GY32" s="166"/>
      <c r="GZ32" s="166"/>
      <c r="HA32" s="166"/>
      <c r="HB32" s="166"/>
      <c r="HC32" s="166"/>
      <c r="HD32" s="166"/>
      <c r="HE32" s="166"/>
      <c r="HF32" s="166"/>
      <c r="HG32" s="166"/>
      <c r="HH32" s="166"/>
      <c r="HI32" s="166"/>
      <c r="HJ32" s="166"/>
      <c r="HK32" s="166"/>
      <c r="HL32" s="166"/>
      <c r="HM32" s="166"/>
      <c r="HN32" s="166"/>
      <c r="HO32" s="166"/>
      <c r="HP32" s="166"/>
      <c r="HQ32" s="166"/>
      <c r="HR32" s="166"/>
      <c r="HS32" s="166"/>
      <c r="HT32" s="166"/>
      <c r="HU32" s="166"/>
      <c r="HV32" s="166"/>
      <c r="HW32" s="166"/>
      <c r="HX32" s="166"/>
      <c r="HY32" s="166"/>
      <c r="HZ32" s="166"/>
      <c r="IA32" s="166"/>
      <c r="IB32" s="166"/>
      <c r="IC32" s="166"/>
      <c r="ID32" s="166"/>
      <c r="IE32" s="166"/>
      <c r="IF32" s="166"/>
      <c r="IG32" s="166"/>
      <c r="IH32" s="166"/>
      <c r="II32" s="166"/>
      <c r="IJ32" s="166"/>
      <c r="IK32" s="166"/>
      <c r="IL32" s="166"/>
      <c r="IM32" s="166"/>
      <c r="IN32" s="166"/>
      <c r="IO32" s="166"/>
      <c r="IP32" s="166"/>
      <c r="IQ32" s="166"/>
      <c r="IR32" s="166"/>
      <c r="IS32" s="166"/>
      <c r="IT32" s="166"/>
      <c r="IU32" s="166"/>
      <c r="IV32" s="166"/>
    </row>
    <row r="33" spans="1:256" ht="47.25">
      <c r="A33" s="146"/>
      <c r="B33" s="167" t="s">
        <v>1011</v>
      </c>
      <c r="C33" s="146" t="s">
        <v>713</v>
      </c>
      <c r="D33" s="146" t="s">
        <v>2</v>
      </c>
      <c r="E33" s="146" t="s">
        <v>159</v>
      </c>
      <c r="F33" s="146" t="s">
        <v>5</v>
      </c>
      <c r="G33" s="146" t="s">
        <v>2</v>
      </c>
      <c r="H33" s="146" t="s">
        <v>22</v>
      </c>
      <c r="I33" s="146" t="s">
        <v>976</v>
      </c>
      <c r="J33" s="146" t="s">
        <v>1010</v>
      </c>
      <c r="K33" s="170">
        <f>2482169942.76</f>
        <v>2482169942.76</v>
      </c>
      <c r="L33" s="165"/>
      <c r="M33" s="135"/>
      <c r="N33" s="165"/>
      <c r="O33" s="165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6"/>
      <c r="FF33" s="166"/>
      <c r="FG33" s="166"/>
      <c r="FH33" s="166"/>
      <c r="FI33" s="166"/>
      <c r="FJ33" s="166"/>
      <c r="FK33" s="166"/>
      <c r="FL33" s="166"/>
      <c r="FM33" s="166"/>
      <c r="FN33" s="166"/>
      <c r="FO33" s="166"/>
      <c r="FP33" s="166"/>
      <c r="FQ33" s="166"/>
      <c r="FR33" s="166"/>
      <c r="FS33" s="166"/>
      <c r="FT33" s="166"/>
      <c r="FU33" s="166"/>
      <c r="FV33" s="166"/>
      <c r="FW33" s="166"/>
      <c r="FX33" s="166"/>
      <c r="FY33" s="166"/>
      <c r="FZ33" s="166"/>
      <c r="GA33" s="166"/>
      <c r="GB33" s="166"/>
      <c r="GC33" s="166"/>
      <c r="GD33" s="166"/>
      <c r="GE33" s="166"/>
      <c r="GF33" s="166"/>
      <c r="GG33" s="166"/>
      <c r="GH33" s="166"/>
      <c r="GI33" s="166"/>
      <c r="GJ33" s="166"/>
      <c r="GK33" s="166"/>
      <c r="GL33" s="166"/>
      <c r="GM33" s="166"/>
      <c r="GN33" s="166"/>
      <c r="GO33" s="166"/>
      <c r="GP33" s="166"/>
      <c r="GQ33" s="166"/>
      <c r="GR33" s="166"/>
      <c r="GS33" s="166"/>
      <c r="GT33" s="166"/>
      <c r="GU33" s="166"/>
      <c r="GV33" s="166"/>
      <c r="GW33" s="166"/>
      <c r="GX33" s="166"/>
      <c r="GY33" s="166"/>
      <c r="GZ33" s="166"/>
      <c r="HA33" s="166"/>
      <c r="HB33" s="166"/>
      <c r="HC33" s="166"/>
      <c r="HD33" s="166"/>
      <c r="HE33" s="166"/>
      <c r="HF33" s="166"/>
      <c r="HG33" s="166"/>
      <c r="HH33" s="166"/>
      <c r="HI33" s="166"/>
      <c r="HJ33" s="166"/>
      <c r="HK33" s="166"/>
      <c r="HL33" s="166"/>
      <c r="HM33" s="166"/>
      <c r="HN33" s="166"/>
      <c r="HO33" s="166"/>
      <c r="HP33" s="166"/>
      <c r="HQ33" s="166"/>
      <c r="HR33" s="166"/>
      <c r="HS33" s="166"/>
      <c r="HT33" s="166"/>
      <c r="HU33" s="166"/>
      <c r="HV33" s="166"/>
      <c r="HW33" s="166"/>
      <c r="HX33" s="166"/>
      <c r="HY33" s="166"/>
      <c r="HZ33" s="166"/>
      <c r="IA33" s="166"/>
      <c r="IB33" s="166"/>
      <c r="IC33" s="166"/>
      <c r="ID33" s="166"/>
      <c r="IE33" s="166"/>
      <c r="IF33" s="166"/>
      <c r="IG33" s="166"/>
      <c r="IH33" s="166"/>
      <c r="II33" s="166"/>
      <c r="IJ33" s="166"/>
      <c r="IK33" s="166"/>
      <c r="IL33" s="166"/>
      <c r="IM33" s="166"/>
      <c r="IN33" s="166"/>
      <c r="IO33" s="166"/>
      <c r="IP33" s="166"/>
      <c r="IQ33" s="166"/>
      <c r="IR33" s="166"/>
      <c r="IS33" s="166"/>
      <c r="IT33" s="166"/>
      <c r="IU33" s="166"/>
      <c r="IV33" s="166"/>
    </row>
    <row r="34" spans="1:256" ht="31.5">
      <c r="A34" s="154" t="s">
        <v>1012</v>
      </c>
      <c r="B34" s="160" t="s">
        <v>1013</v>
      </c>
      <c r="C34" s="161" t="s">
        <v>713</v>
      </c>
      <c r="D34" s="161" t="s">
        <v>2</v>
      </c>
      <c r="E34" s="161" t="s">
        <v>159</v>
      </c>
      <c r="F34" s="161" t="s">
        <v>3</v>
      </c>
      <c r="G34" s="161" t="s">
        <v>3</v>
      </c>
      <c r="H34" s="161" t="s">
        <v>3</v>
      </c>
      <c r="I34" s="161" t="s">
        <v>976</v>
      </c>
      <c r="J34" s="161" t="s">
        <v>70</v>
      </c>
      <c r="K34" s="171">
        <f>K35</f>
        <v>2517714390.8900003</v>
      </c>
      <c r="L34" s="165"/>
      <c r="M34" s="135"/>
      <c r="N34" s="165"/>
      <c r="O34" s="165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6"/>
      <c r="FK34" s="166"/>
      <c r="FL34" s="166"/>
      <c r="FM34" s="166"/>
      <c r="FN34" s="166"/>
      <c r="FO34" s="166"/>
      <c r="FP34" s="166"/>
      <c r="FQ34" s="166"/>
      <c r="FR34" s="166"/>
      <c r="FS34" s="166"/>
      <c r="FT34" s="166"/>
      <c r="FU34" s="166"/>
      <c r="FV34" s="166"/>
      <c r="FW34" s="166"/>
      <c r="FX34" s="166"/>
      <c r="FY34" s="166"/>
      <c r="FZ34" s="166"/>
      <c r="GA34" s="166"/>
      <c r="GB34" s="166"/>
      <c r="GC34" s="166"/>
      <c r="GD34" s="166"/>
      <c r="GE34" s="166"/>
      <c r="GF34" s="166"/>
      <c r="GG34" s="166"/>
      <c r="GH34" s="166"/>
      <c r="GI34" s="166"/>
      <c r="GJ34" s="166"/>
      <c r="GK34" s="166"/>
      <c r="GL34" s="166"/>
      <c r="GM34" s="166"/>
      <c r="GN34" s="166"/>
      <c r="GO34" s="166"/>
      <c r="GP34" s="166"/>
      <c r="GQ34" s="166"/>
      <c r="GR34" s="166"/>
      <c r="GS34" s="166"/>
      <c r="GT34" s="166"/>
      <c r="GU34" s="166"/>
      <c r="GV34" s="166"/>
      <c r="GW34" s="166"/>
      <c r="GX34" s="166"/>
      <c r="GY34" s="166"/>
      <c r="GZ34" s="166"/>
      <c r="HA34" s="166"/>
      <c r="HB34" s="166"/>
      <c r="HC34" s="166"/>
      <c r="HD34" s="166"/>
      <c r="HE34" s="166"/>
      <c r="HF34" s="166"/>
      <c r="HG34" s="166"/>
      <c r="HH34" s="166"/>
      <c r="HI34" s="166"/>
      <c r="HJ34" s="166"/>
      <c r="HK34" s="166"/>
      <c r="HL34" s="166"/>
      <c r="HM34" s="166"/>
      <c r="HN34" s="166"/>
      <c r="HO34" s="166"/>
      <c r="HP34" s="166"/>
      <c r="HQ34" s="166"/>
      <c r="HR34" s="166"/>
      <c r="HS34" s="166"/>
      <c r="HT34" s="166"/>
      <c r="HU34" s="166"/>
      <c r="HV34" s="166"/>
      <c r="HW34" s="166"/>
      <c r="HX34" s="166"/>
      <c r="HY34" s="166"/>
      <c r="HZ34" s="166"/>
      <c r="IA34" s="166"/>
      <c r="IB34" s="166"/>
      <c r="IC34" s="166"/>
      <c r="ID34" s="166"/>
      <c r="IE34" s="166"/>
      <c r="IF34" s="166"/>
      <c r="IG34" s="166"/>
      <c r="IH34" s="166"/>
      <c r="II34" s="166"/>
      <c r="IJ34" s="166"/>
      <c r="IK34" s="166"/>
      <c r="IL34" s="166"/>
      <c r="IM34" s="166"/>
      <c r="IN34" s="166"/>
      <c r="IO34" s="166"/>
      <c r="IP34" s="166"/>
      <c r="IQ34" s="166"/>
      <c r="IR34" s="166"/>
      <c r="IS34" s="166"/>
      <c r="IT34" s="166"/>
      <c r="IU34" s="166"/>
      <c r="IV34" s="166"/>
    </row>
    <row r="35" spans="1:256" ht="31.5">
      <c r="A35" s="146"/>
      <c r="B35" s="167" t="s">
        <v>1014</v>
      </c>
      <c r="C35" s="146" t="s">
        <v>713</v>
      </c>
      <c r="D35" s="146" t="s">
        <v>2</v>
      </c>
      <c r="E35" s="146" t="s">
        <v>159</v>
      </c>
      <c r="F35" s="146" t="s">
        <v>5</v>
      </c>
      <c r="G35" s="146" t="s">
        <v>3</v>
      </c>
      <c r="H35" s="146" t="s">
        <v>3</v>
      </c>
      <c r="I35" s="146" t="s">
        <v>976</v>
      </c>
      <c r="J35" s="146" t="s">
        <v>70</v>
      </c>
      <c r="K35" s="170">
        <f>K36</f>
        <v>2517714390.8900003</v>
      </c>
      <c r="L35" s="165"/>
      <c r="M35" s="135"/>
      <c r="N35" s="165"/>
      <c r="O35" s="165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66"/>
      <c r="GA35" s="166"/>
      <c r="GB35" s="166"/>
      <c r="GC35" s="166"/>
      <c r="GD35" s="166"/>
      <c r="GE35" s="166"/>
      <c r="GF35" s="166"/>
      <c r="GG35" s="166"/>
      <c r="GH35" s="166"/>
      <c r="GI35" s="166"/>
      <c r="GJ35" s="166"/>
      <c r="GK35" s="166"/>
      <c r="GL35" s="166"/>
      <c r="GM35" s="166"/>
      <c r="GN35" s="166"/>
      <c r="GO35" s="166"/>
      <c r="GP35" s="166"/>
      <c r="GQ35" s="166"/>
      <c r="GR35" s="166"/>
      <c r="GS35" s="166"/>
      <c r="GT35" s="166"/>
      <c r="GU35" s="166"/>
      <c r="GV35" s="166"/>
      <c r="GW35" s="166"/>
      <c r="GX35" s="166"/>
      <c r="GY35" s="166"/>
      <c r="GZ35" s="166"/>
      <c r="HA35" s="166"/>
      <c r="HB35" s="166"/>
      <c r="HC35" s="166"/>
      <c r="HD35" s="166"/>
      <c r="HE35" s="166"/>
      <c r="HF35" s="166"/>
      <c r="HG35" s="166"/>
      <c r="HH35" s="166"/>
      <c r="HI35" s="166"/>
      <c r="HJ35" s="166"/>
      <c r="HK35" s="166"/>
      <c r="HL35" s="166"/>
      <c r="HM35" s="166"/>
      <c r="HN35" s="166"/>
      <c r="HO35" s="166"/>
      <c r="HP35" s="166"/>
      <c r="HQ35" s="166"/>
      <c r="HR35" s="166"/>
      <c r="HS35" s="166"/>
      <c r="HT35" s="166"/>
      <c r="HU35" s="166"/>
      <c r="HV35" s="166"/>
      <c r="HW35" s="166"/>
      <c r="HX35" s="166"/>
      <c r="HY35" s="166"/>
      <c r="HZ35" s="166"/>
      <c r="IA35" s="166"/>
      <c r="IB35" s="166"/>
      <c r="IC35" s="166"/>
      <c r="ID35" s="166"/>
      <c r="IE35" s="166"/>
      <c r="IF35" s="166"/>
      <c r="IG35" s="166"/>
      <c r="IH35" s="166"/>
      <c r="II35" s="166"/>
      <c r="IJ35" s="166"/>
      <c r="IK35" s="166"/>
      <c r="IL35" s="166"/>
      <c r="IM35" s="166"/>
      <c r="IN35" s="166"/>
      <c r="IO35" s="166"/>
      <c r="IP35" s="166"/>
      <c r="IQ35" s="166"/>
      <c r="IR35" s="166"/>
      <c r="IS35" s="166"/>
      <c r="IT35" s="166"/>
      <c r="IU35" s="166"/>
      <c r="IV35" s="166"/>
    </row>
    <row r="36" spans="1:256" ht="31.5">
      <c r="A36" s="146"/>
      <c r="B36" s="167" t="s">
        <v>1015</v>
      </c>
      <c r="C36" s="146" t="s">
        <v>713</v>
      </c>
      <c r="D36" s="146" t="s">
        <v>2</v>
      </c>
      <c r="E36" s="146" t="s">
        <v>159</v>
      </c>
      <c r="F36" s="146" t="s">
        <v>5</v>
      </c>
      <c r="G36" s="146" t="s">
        <v>2</v>
      </c>
      <c r="H36" s="146" t="s">
        <v>3</v>
      </c>
      <c r="I36" s="146" t="s">
        <v>976</v>
      </c>
      <c r="J36" s="146" t="s">
        <v>1016</v>
      </c>
      <c r="K36" s="170">
        <f>K37</f>
        <v>2517714390.8900003</v>
      </c>
      <c r="L36" s="165"/>
      <c r="M36" s="135"/>
      <c r="N36" s="165"/>
      <c r="O36" s="165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6"/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6"/>
      <c r="EW36" s="166"/>
      <c r="EX36" s="166"/>
      <c r="EY36" s="166"/>
      <c r="EZ36" s="166"/>
      <c r="FA36" s="166"/>
      <c r="FB36" s="166"/>
      <c r="FC36" s="166"/>
      <c r="FD36" s="166"/>
      <c r="FE36" s="166"/>
      <c r="FF36" s="166"/>
      <c r="FG36" s="166"/>
      <c r="FH36" s="166"/>
      <c r="FI36" s="166"/>
      <c r="FJ36" s="166"/>
      <c r="FK36" s="166"/>
      <c r="FL36" s="166"/>
      <c r="FM36" s="166"/>
      <c r="FN36" s="166"/>
      <c r="FO36" s="166"/>
      <c r="FP36" s="166"/>
      <c r="FQ36" s="166"/>
      <c r="FR36" s="166"/>
      <c r="FS36" s="166"/>
      <c r="FT36" s="166"/>
      <c r="FU36" s="166"/>
      <c r="FV36" s="166"/>
      <c r="FW36" s="166"/>
      <c r="FX36" s="166"/>
      <c r="FY36" s="166"/>
      <c r="FZ36" s="166"/>
      <c r="GA36" s="166"/>
      <c r="GB36" s="166"/>
      <c r="GC36" s="166"/>
      <c r="GD36" s="166"/>
      <c r="GE36" s="166"/>
      <c r="GF36" s="166"/>
      <c r="GG36" s="166"/>
      <c r="GH36" s="166"/>
      <c r="GI36" s="166"/>
      <c r="GJ36" s="166"/>
      <c r="GK36" s="166"/>
      <c r="GL36" s="166"/>
      <c r="GM36" s="166"/>
      <c r="GN36" s="166"/>
      <c r="GO36" s="166"/>
      <c r="GP36" s="166"/>
      <c r="GQ36" s="166"/>
      <c r="GR36" s="166"/>
      <c r="GS36" s="166"/>
      <c r="GT36" s="166"/>
      <c r="GU36" s="166"/>
      <c r="GV36" s="166"/>
      <c r="GW36" s="166"/>
      <c r="GX36" s="166"/>
      <c r="GY36" s="166"/>
      <c r="GZ36" s="166"/>
      <c r="HA36" s="166"/>
      <c r="HB36" s="166"/>
      <c r="HC36" s="166"/>
      <c r="HD36" s="166"/>
      <c r="HE36" s="166"/>
      <c r="HF36" s="166"/>
      <c r="HG36" s="166"/>
      <c r="HH36" s="166"/>
      <c r="HI36" s="166"/>
      <c r="HJ36" s="166"/>
      <c r="HK36" s="166"/>
      <c r="HL36" s="166"/>
      <c r="HM36" s="166"/>
      <c r="HN36" s="166"/>
      <c r="HO36" s="166"/>
      <c r="HP36" s="166"/>
      <c r="HQ36" s="166"/>
      <c r="HR36" s="166"/>
      <c r="HS36" s="166"/>
      <c r="HT36" s="166"/>
      <c r="HU36" s="166"/>
      <c r="HV36" s="166"/>
      <c r="HW36" s="166"/>
      <c r="HX36" s="166"/>
      <c r="HY36" s="166"/>
      <c r="HZ36" s="166"/>
      <c r="IA36" s="166"/>
      <c r="IB36" s="166"/>
      <c r="IC36" s="166"/>
      <c r="ID36" s="166"/>
      <c r="IE36" s="166"/>
      <c r="IF36" s="166"/>
      <c r="IG36" s="166"/>
      <c r="IH36" s="166"/>
      <c r="II36" s="166"/>
      <c r="IJ36" s="166"/>
      <c r="IK36" s="166"/>
      <c r="IL36" s="166"/>
      <c r="IM36" s="166"/>
      <c r="IN36" s="166"/>
      <c r="IO36" s="166"/>
      <c r="IP36" s="166"/>
      <c r="IQ36" s="166"/>
      <c r="IR36" s="166"/>
      <c r="IS36" s="166"/>
      <c r="IT36" s="166"/>
      <c r="IU36" s="166"/>
      <c r="IV36" s="166"/>
    </row>
    <row r="37" spans="1:256" ht="47.25">
      <c r="A37" s="146"/>
      <c r="B37" s="167" t="s">
        <v>1017</v>
      </c>
      <c r="C37" s="146" t="s">
        <v>713</v>
      </c>
      <c r="D37" s="146" t="s">
        <v>2</v>
      </c>
      <c r="E37" s="146" t="s">
        <v>159</v>
      </c>
      <c r="F37" s="146" t="s">
        <v>5</v>
      </c>
      <c r="G37" s="146" t="s">
        <v>2</v>
      </c>
      <c r="H37" s="146" t="s">
        <v>22</v>
      </c>
      <c r="I37" s="146" t="s">
        <v>976</v>
      </c>
      <c r="J37" s="146" t="s">
        <v>1016</v>
      </c>
      <c r="K37" s="170">
        <f>2518077065.53-362674.64</f>
        <v>2517714390.8900003</v>
      </c>
      <c r="L37" s="165"/>
      <c r="M37" s="135"/>
      <c r="N37" s="165"/>
      <c r="O37" s="165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6"/>
      <c r="FF37" s="166"/>
      <c r="FG37" s="166"/>
      <c r="FH37" s="166"/>
      <c r="FI37" s="166"/>
      <c r="FJ37" s="166"/>
      <c r="FK37" s="166"/>
      <c r="FL37" s="166"/>
      <c r="FM37" s="166"/>
      <c r="FN37" s="166"/>
      <c r="FO37" s="166"/>
      <c r="FP37" s="166"/>
      <c r="FQ37" s="166"/>
      <c r="FR37" s="166"/>
      <c r="FS37" s="166"/>
      <c r="FT37" s="166"/>
      <c r="FU37" s="166"/>
      <c r="FV37" s="166"/>
      <c r="FW37" s="166"/>
      <c r="FX37" s="166"/>
      <c r="FY37" s="166"/>
      <c r="FZ37" s="166"/>
      <c r="GA37" s="166"/>
      <c r="GB37" s="166"/>
      <c r="GC37" s="166"/>
      <c r="GD37" s="166"/>
      <c r="GE37" s="166"/>
      <c r="GF37" s="166"/>
      <c r="GG37" s="166"/>
      <c r="GH37" s="166"/>
      <c r="GI37" s="166"/>
      <c r="GJ37" s="166"/>
      <c r="GK37" s="166"/>
      <c r="GL37" s="166"/>
      <c r="GM37" s="166"/>
      <c r="GN37" s="166"/>
      <c r="GO37" s="166"/>
      <c r="GP37" s="166"/>
      <c r="GQ37" s="166"/>
      <c r="GR37" s="166"/>
      <c r="GS37" s="166"/>
      <c r="GT37" s="166"/>
      <c r="GU37" s="166"/>
      <c r="GV37" s="166"/>
      <c r="GW37" s="166"/>
      <c r="GX37" s="166"/>
      <c r="GY37" s="166"/>
      <c r="GZ37" s="166"/>
      <c r="HA37" s="166"/>
      <c r="HB37" s="166"/>
      <c r="HC37" s="166"/>
      <c r="HD37" s="166"/>
      <c r="HE37" s="166"/>
      <c r="HF37" s="166"/>
      <c r="HG37" s="166"/>
      <c r="HH37" s="166"/>
      <c r="HI37" s="166"/>
      <c r="HJ37" s="166"/>
      <c r="HK37" s="166"/>
      <c r="HL37" s="166"/>
      <c r="HM37" s="166"/>
      <c r="HN37" s="166"/>
      <c r="HO37" s="166"/>
      <c r="HP37" s="166"/>
      <c r="HQ37" s="166"/>
      <c r="HR37" s="166"/>
      <c r="HS37" s="166"/>
      <c r="HT37" s="166"/>
      <c r="HU37" s="166"/>
      <c r="HV37" s="166"/>
      <c r="HW37" s="166"/>
      <c r="HX37" s="166"/>
      <c r="HY37" s="166"/>
      <c r="HZ37" s="166"/>
      <c r="IA37" s="166"/>
      <c r="IB37" s="166"/>
      <c r="IC37" s="166"/>
      <c r="ID37" s="166"/>
      <c r="IE37" s="166"/>
      <c r="IF37" s="166"/>
      <c r="IG37" s="166"/>
      <c r="IH37" s="166"/>
      <c r="II37" s="166"/>
      <c r="IJ37" s="166"/>
      <c r="IK37" s="166"/>
      <c r="IL37" s="166"/>
      <c r="IM37" s="166"/>
      <c r="IN37" s="166"/>
      <c r="IO37" s="166"/>
      <c r="IP37" s="166"/>
      <c r="IQ37" s="166"/>
      <c r="IR37" s="166"/>
      <c r="IS37" s="166"/>
      <c r="IT37" s="166"/>
      <c r="IU37" s="166"/>
      <c r="IV37" s="166"/>
    </row>
    <row r="38" spans="1:256" ht="47.25" hidden="1">
      <c r="A38" s="154" t="s">
        <v>1002</v>
      </c>
      <c r="B38" s="142" t="s">
        <v>995</v>
      </c>
      <c r="C38" s="154" t="s">
        <v>713</v>
      </c>
      <c r="D38" s="154" t="s">
        <v>2</v>
      </c>
      <c r="E38" s="154" t="s">
        <v>60</v>
      </c>
      <c r="F38" s="154" t="s">
        <v>3</v>
      </c>
      <c r="G38" s="154" t="s">
        <v>3</v>
      </c>
      <c r="H38" s="154" t="s">
        <v>3</v>
      </c>
      <c r="I38" s="154" t="s">
        <v>976</v>
      </c>
      <c r="J38" s="154" t="s">
        <v>1</v>
      </c>
      <c r="K38" s="172">
        <f>K39</f>
        <v>0</v>
      </c>
      <c r="L38" s="173"/>
      <c r="M38" s="135"/>
      <c r="N38" s="173"/>
      <c r="O38" s="173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74"/>
      <c r="DZ38" s="174"/>
      <c r="EA38" s="174"/>
      <c r="EB38" s="174"/>
      <c r="EC38" s="174"/>
      <c r="ED38" s="174"/>
      <c r="EE38" s="174"/>
      <c r="EF38" s="174"/>
      <c r="EG38" s="174"/>
      <c r="EH38" s="174"/>
      <c r="EI38" s="174"/>
      <c r="EJ38" s="174"/>
      <c r="EK38" s="174"/>
      <c r="EL38" s="174"/>
      <c r="EM38" s="174"/>
      <c r="EN38" s="174"/>
      <c r="EO38" s="174"/>
      <c r="EP38" s="174"/>
      <c r="EQ38" s="174"/>
      <c r="ER38" s="174"/>
      <c r="ES38" s="174"/>
      <c r="ET38" s="174"/>
      <c r="EU38" s="174"/>
      <c r="EV38" s="174"/>
      <c r="EW38" s="174"/>
      <c r="EX38" s="174"/>
      <c r="EY38" s="174"/>
      <c r="EZ38" s="174"/>
      <c r="FA38" s="174"/>
      <c r="FB38" s="174"/>
      <c r="FC38" s="174"/>
      <c r="FD38" s="174"/>
      <c r="FE38" s="174"/>
      <c r="FF38" s="174"/>
      <c r="FG38" s="174"/>
      <c r="FH38" s="174"/>
      <c r="FI38" s="174"/>
      <c r="FJ38" s="174"/>
      <c r="FK38" s="174"/>
      <c r="FL38" s="174"/>
      <c r="FM38" s="174"/>
      <c r="FN38" s="174"/>
      <c r="FO38" s="174"/>
      <c r="FP38" s="174"/>
      <c r="FQ38" s="174"/>
      <c r="FR38" s="174"/>
      <c r="FS38" s="174"/>
      <c r="FT38" s="174"/>
      <c r="FU38" s="174"/>
      <c r="FV38" s="174"/>
      <c r="FW38" s="174"/>
      <c r="FX38" s="174"/>
      <c r="FY38" s="174"/>
      <c r="FZ38" s="174"/>
      <c r="GA38" s="174"/>
      <c r="GB38" s="174"/>
      <c r="GC38" s="174"/>
      <c r="GD38" s="174"/>
      <c r="GE38" s="174"/>
      <c r="GF38" s="174"/>
      <c r="GG38" s="174"/>
      <c r="GH38" s="174"/>
      <c r="GI38" s="174"/>
      <c r="GJ38" s="174"/>
      <c r="GK38" s="174"/>
      <c r="GL38" s="174"/>
      <c r="GM38" s="174"/>
      <c r="GN38" s="174"/>
      <c r="GO38" s="174"/>
      <c r="GP38" s="174"/>
      <c r="GQ38" s="174"/>
      <c r="GR38" s="174"/>
      <c r="GS38" s="174"/>
      <c r="GT38" s="174"/>
      <c r="GU38" s="174"/>
      <c r="GV38" s="174"/>
      <c r="GW38" s="174"/>
      <c r="GX38" s="174"/>
      <c r="GY38" s="174"/>
      <c r="GZ38" s="174"/>
      <c r="HA38" s="174"/>
      <c r="HB38" s="174"/>
      <c r="HC38" s="174"/>
      <c r="HD38" s="174"/>
      <c r="HE38" s="174"/>
      <c r="HF38" s="174"/>
      <c r="HG38" s="174"/>
      <c r="HH38" s="174"/>
      <c r="HI38" s="174"/>
      <c r="HJ38" s="174"/>
      <c r="HK38" s="174"/>
      <c r="HL38" s="174"/>
      <c r="HM38" s="174"/>
      <c r="HN38" s="174"/>
      <c r="HO38" s="174"/>
      <c r="HP38" s="174"/>
      <c r="HQ38" s="174"/>
      <c r="HR38" s="174"/>
      <c r="HS38" s="174"/>
      <c r="HT38" s="174"/>
      <c r="HU38" s="174"/>
      <c r="HV38" s="174"/>
      <c r="HW38" s="174"/>
      <c r="HX38" s="174"/>
      <c r="HY38" s="174"/>
      <c r="HZ38" s="174"/>
      <c r="IA38" s="174"/>
      <c r="IB38" s="174"/>
      <c r="IC38" s="174"/>
      <c r="ID38" s="174"/>
      <c r="IE38" s="174"/>
      <c r="IF38" s="174"/>
      <c r="IG38" s="174"/>
      <c r="IH38" s="174"/>
      <c r="II38" s="174"/>
      <c r="IJ38" s="174"/>
      <c r="IK38" s="174"/>
      <c r="IL38" s="174"/>
      <c r="IM38" s="174"/>
      <c r="IN38" s="174"/>
      <c r="IO38" s="174"/>
      <c r="IP38" s="174"/>
      <c r="IQ38" s="174"/>
      <c r="IR38" s="174"/>
      <c r="IS38" s="174"/>
      <c r="IT38" s="174"/>
      <c r="IU38" s="174"/>
      <c r="IV38" s="174"/>
    </row>
    <row r="39" spans="1:256" ht="47.25" hidden="1">
      <c r="A39" s="154" t="s">
        <v>996</v>
      </c>
      <c r="B39" s="142" t="s">
        <v>1018</v>
      </c>
      <c r="C39" s="154" t="s">
        <v>713</v>
      </c>
      <c r="D39" s="154" t="s">
        <v>2</v>
      </c>
      <c r="E39" s="154" t="s">
        <v>60</v>
      </c>
      <c r="F39" s="154" t="s">
        <v>22</v>
      </c>
      <c r="G39" s="154" t="s">
        <v>3</v>
      </c>
      <c r="H39" s="154" t="s">
        <v>3</v>
      </c>
      <c r="I39" s="154" t="s">
        <v>976</v>
      </c>
      <c r="J39" s="154" t="s">
        <v>1</v>
      </c>
      <c r="K39" s="175">
        <f>K40</f>
        <v>0</v>
      </c>
      <c r="L39" s="173"/>
      <c r="M39" s="135"/>
      <c r="N39" s="173"/>
      <c r="O39" s="173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C39" s="174"/>
      <c r="DD39" s="174"/>
      <c r="DE39" s="174"/>
      <c r="DF39" s="174"/>
      <c r="DG39" s="174"/>
      <c r="DH39" s="174"/>
      <c r="DI39" s="174"/>
      <c r="DJ39" s="174"/>
      <c r="DK39" s="174"/>
      <c r="DL39" s="174"/>
      <c r="DM39" s="174"/>
      <c r="DN39" s="174"/>
      <c r="DO39" s="174"/>
      <c r="DP39" s="174"/>
      <c r="DQ39" s="174"/>
      <c r="DR39" s="174"/>
      <c r="DS39" s="174"/>
      <c r="DT39" s="174"/>
      <c r="DU39" s="174"/>
      <c r="DV39" s="174"/>
      <c r="DW39" s="174"/>
      <c r="DX39" s="174"/>
      <c r="DY39" s="174"/>
      <c r="DZ39" s="174"/>
      <c r="EA39" s="174"/>
      <c r="EB39" s="174"/>
      <c r="EC39" s="174"/>
      <c r="ED39" s="174"/>
      <c r="EE39" s="174"/>
      <c r="EF39" s="174"/>
      <c r="EG39" s="174"/>
      <c r="EH39" s="174"/>
      <c r="EI39" s="174"/>
      <c r="EJ39" s="174"/>
      <c r="EK39" s="174"/>
      <c r="EL39" s="174"/>
      <c r="EM39" s="174"/>
      <c r="EN39" s="174"/>
      <c r="EO39" s="174"/>
      <c r="EP39" s="174"/>
      <c r="EQ39" s="174"/>
      <c r="ER39" s="174"/>
      <c r="ES39" s="174"/>
      <c r="ET39" s="174"/>
      <c r="EU39" s="174"/>
      <c r="EV39" s="174"/>
      <c r="EW39" s="174"/>
      <c r="EX39" s="174"/>
      <c r="EY39" s="174"/>
      <c r="EZ39" s="174"/>
      <c r="FA39" s="174"/>
      <c r="FB39" s="174"/>
      <c r="FC39" s="174"/>
      <c r="FD39" s="174"/>
      <c r="FE39" s="174"/>
      <c r="FF39" s="174"/>
      <c r="FG39" s="174"/>
      <c r="FH39" s="174"/>
      <c r="FI39" s="174"/>
      <c r="FJ39" s="174"/>
      <c r="FK39" s="174"/>
      <c r="FL39" s="174"/>
      <c r="FM39" s="174"/>
      <c r="FN39" s="174"/>
      <c r="FO39" s="174"/>
      <c r="FP39" s="174"/>
      <c r="FQ39" s="174"/>
      <c r="FR39" s="174"/>
      <c r="FS39" s="174"/>
      <c r="FT39" s="174"/>
      <c r="FU39" s="174"/>
      <c r="FV39" s="174"/>
      <c r="FW39" s="174"/>
      <c r="FX39" s="174"/>
      <c r="FY39" s="174"/>
      <c r="FZ39" s="174"/>
      <c r="GA39" s="174"/>
      <c r="GB39" s="174"/>
      <c r="GC39" s="174"/>
      <c r="GD39" s="174"/>
      <c r="GE39" s="174"/>
      <c r="GF39" s="174"/>
      <c r="GG39" s="174"/>
      <c r="GH39" s="174"/>
      <c r="GI39" s="174"/>
      <c r="GJ39" s="174"/>
      <c r="GK39" s="174"/>
      <c r="GL39" s="174"/>
      <c r="GM39" s="174"/>
      <c r="GN39" s="174"/>
      <c r="GO39" s="174"/>
      <c r="GP39" s="174"/>
      <c r="GQ39" s="174"/>
      <c r="GR39" s="174"/>
      <c r="GS39" s="174"/>
      <c r="GT39" s="174"/>
      <c r="GU39" s="174"/>
      <c r="GV39" s="174"/>
      <c r="GW39" s="174"/>
      <c r="GX39" s="174"/>
      <c r="GY39" s="174"/>
      <c r="GZ39" s="174"/>
      <c r="HA39" s="174"/>
      <c r="HB39" s="174"/>
      <c r="HC39" s="174"/>
      <c r="HD39" s="174"/>
      <c r="HE39" s="174"/>
      <c r="HF39" s="174"/>
      <c r="HG39" s="174"/>
      <c r="HH39" s="174"/>
      <c r="HI39" s="174"/>
      <c r="HJ39" s="174"/>
      <c r="HK39" s="174"/>
      <c r="HL39" s="174"/>
      <c r="HM39" s="174"/>
      <c r="HN39" s="174"/>
      <c r="HO39" s="174"/>
      <c r="HP39" s="174"/>
      <c r="HQ39" s="174"/>
      <c r="HR39" s="174"/>
      <c r="HS39" s="174"/>
      <c r="HT39" s="174"/>
      <c r="HU39" s="174"/>
      <c r="HV39" s="174"/>
      <c r="HW39" s="174"/>
      <c r="HX39" s="174"/>
      <c r="HY39" s="174"/>
      <c r="HZ39" s="174"/>
      <c r="IA39" s="174"/>
      <c r="IB39" s="174"/>
      <c r="IC39" s="174"/>
      <c r="ID39" s="174"/>
      <c r="IE39" s="174"/>
      <c r="IF39" s="174"/>
      <c r="IG39" s="174"/>
      <c r="IH39" s="174"/>
      <c r="II39" s="174"/>
      <c r="IJ39" s="174"/>
      <c r="IK39" s="174"/>
      <c r="IL39" s="174"/>
      <c r="IM39" s="174"/>
      <c r="IN39" s="174"/>
      <c r="IO39" s="174"/>
      <c r="IP39" s="174"/>
      <c r="IQ39" s="174"/>
      <c r="IR39" s="174"/>
      <c r="IS39" s="174"/>
      <c r="IT39" s="174"/>
      <c r="IU39" s="174"/>
      <c r="IV39" s="174"/>
    </row>
    <row r="40" spans="1:256" ht="173.25" hidden="1">
      <c r="A40" s="146"/>
      <c r="B40" s="167" t="s">
        <v>1019</v>
      </c>
      <c r="C40" s="146" t="s">
        <v>713</v>
      </c>
      <c r="D40" s="146" t="s">
        <v>2</v>
      </c>
      <c r="E40" s="146" t="s">
        <v>60</v>
      </c>
      <c r="F40" s="146" t="s">
        <v>22</v>
      </c>
      <c r="G40" s="146" t="s">
        <v>3</v>
      </c>
      <c r="H40" s="146" t="s">
        <v>3</v>
      </c>
      <c r="I40" s="146" t="s">
        <v>976</v>
      </c>
      <c r="J40" s="146" t="s">
        <v>65</v>
      </c>
      <c r="K40" s="176">
        <f>K41</f>
        <v>0</v>
      </c>
      <c r="L40" s="165"/>
      <c r="M40" s="135"/>
      <c r="N40" s="165"/>
      <c r="O40" s="165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/>
      <c r="DC40" s="166"/>
      <c r="DD40" s="166"/>
      <c r="DE40" s="166"/>
      <c r="DF40" s="166"/>
      <c r="DG40" s="166"/>
      <c r="DH40" s="166"/>
      <c r="DI40" s="166"/>
      <c r="DJ40" s="166"/>
      <c r="DK40" s="166"/>
      <c r="DL40" s="166"/>
      <c r="DM40" s="166"/>
      <c r="DN40" s="166"/>
      <c r="DO40" s="166"/>
      <c r="DP40" s="166"/>
      <c r="DQ40" s="166"/>
      <c r="DR40" s="166"/>
      <c r="DS40" s="166"/>
      <c r="DT40" s="166"/>
      <c r="DU40" s="166"/>
      <c r="DV40" s="166"/>
      <c r="DW40" s="166"/>
      <c r="DX40" s="166"/>
      <c r="DY40" s="166"/>
      <c r="DZ40" s="166"/>
      <c r="EA40" s="166"/>
      <c r="EB40" s="166"/>
      <c r="EC40" s="166"/>
      <c r="ED40" s="166"/>
      <c r="EE40" s="166"/>
      <c r="EF40" s="166"/>
      <c r="EG40" s="166"/>
      <c r="EH40" s="166"/>
      <c r="EI40" s="166"/>
      <c r="EJ40" s="166"/>
      <c r="EK40" s="166"/>
      <c r="EL40" s="166"/>
      <c r="EM40" s="166"/>
      <c r="EN40" s="166"/>
      <c r="EO40" s="166"/>
      <c r="EP40" s="166"/>
      <c r="EQ40" s="166"/>
      <c r="ER40" s="166"/>
      <c r="ES40" s="166"/>
      <c r="ET40" s="166"/>
      <c r="EU40" s="166"/>
      <c r="EV40" s="166"/>
      <c r="EW40" s="166"/>
      <c r="EX40" s="166"/>
      <c r="EY40" s="166"/>
      <c r="EZ40" s="166"/>
      <c r="FA40" s="166"/>
      <c r="FB40" s="166"/>
      <c r="FC40" s="166"/>
      <c r="FD40" s="166"/>
      <c r="FE40" s="166"/>
      <c r="FF40" s="166"/>
      <c r="FG40" s="166"/>
      <c r="FH40" s="166"/>
      <c r="FI40" s="166"/>
      <c r="FJ40" s="166"/>
      <c r="FK40" s="166"/>
      <c r="FL40" s="166"/>
      <c r="FM40" s="166"/>
      <c r="FN40" s="166"/>
      <c r="FO40" s="166"/>
      <c r="FP40" s="166"/>
      <c r="FQ40" s="166"/>
      <c r="FR40" s="166"/>
      <c r="FS40" s="166"/>
      <c r="FT40" s="166"/>
      <c r="FU40" s="166"/>
      <c r="FV40" s="166"/>
      <c r="FW40" s="166"/>
      <c r="FX40" s="166"/>
      <c r="FY40" s="166"/>
      <c r="FZ40" s="166"/>
      <c r="GA40" s="166"/>
      <c r="GB40" s="166"/>
      <c r="GC40" s="166"/>
      <c r="GD40" s="166"/>
      <c r="GE40" s="166"/>
      <c r="GF40" s="166"/>
      <c r="GG40" s="166"/>
      <c r="GH40" s="166"/>
      <c r="GI40" s="166"/>
      <c r="GJ40" s="166"/>
      <c r="GK40" s="166"/>
      <c r="GL40" s="166"/>
      <c r="GM40" s="166"/>
      <c r="GN40" s="166"/>
      <c r="GO40" s="166"/>
      <c r="GP40" s="166"/>
      <c r="GQ40" s="166"/>
      <c r="GR40" s="166"/>
      <c r="GS40" s="166"/>
      <c r="GT40" s="166"/>
      <c r="GU40" s="166"/>
      <c r="GV40" s="166"/>
      <c r="GW40" s="166"/>
      <c r="GX40" s="166"/>
      <c r="GY40" s="166"/>
      <c r="GZ40" s="166"/>
      <c r="HA40" s="166"/>
      <c r="HB40" s="166"/>
      <c r="HC40" s="166"/>
      <c r="HD40" s="166"/>
      <c r="HE40" s="166"/>
      <c r="HF40" s="166"/>
      <c r="HG40" s="166"/>
      <c r="HH40" s="166"/>
      <c r="HI40" s="166"/>
      <c r="HJ40" s="166"/>
      <c r="HK40" s="166"/>
      <c r="HL40" s="166"/>
      <c r="HM40" s="166"/>
      <c r="HN40" s="166"/>
      <c r="HO40" s="166"/>
      <c r="HP40" s="166"/>
      <c r="HQ40" s="166"/>
      <c r="HR40" s="166"/>
      <c r="HS40" s="166"/>
      <c r="HT40" s="166"/>
      <c r="HU40" s="166"/>
      <c r="HV40" s="166"/>
      <c r="HW40" s="166"/>
      <c r="HX40" s="166"/>
      <c r="HY40" s="166"/>
      <c r="HZ40" s="166"/>
      <c r="IA40" s="166"/>
      <c r="IB40" s="166"/>
      <c r="IC40" s="166"/>
      <c r="ID40" s="166"/>
      <c r="IE40" s="166"/>
      <c r="IF40" s="166"/>
      <c r="IG40" s="166"/>
      <c r="IH40" s="166"/>
      <c r="II40" s="166"/>
      <c r="IJ40" s="166"/>
      <c r="IK40" s="166"/>
      <c r="IL40" s="166"/>
      <c r="IM40" s="166"/>
      <c r="IN40" s="166"/>
      <c r="IO40" s="166"/>
      <c r="IP40" s="166"/>
      <c r="IQ40" s="166"/>
      <c r="IR40" s="166"/>
      <c r="IS40" s="166"/>
      <c r="IT40" s="166"/>
      <c r="IU40" s="166"/>
      <c r="IV40" s="166"/>
    </row>
    <row r="41" spans="1:256" ht="157.5" hidden="1">
      <c r="A41" s="146"/>
      <c r="B41" s="167" t="s">
        <v>1020</v>
      </c>
      <c r="C41" s="146" t="s">
        <v>713</v>
      </c>
      <c r="D41" s="146" t="s">
        <v>2</v>
      </c>
      <c r="E41" s="146" t="s">
        <v>60</v>
      </c>
      <c r="F41" s="146" t="s">
        <v>22</v>
      </c>
      <c r="G41" s="146" t="s">
        <v>3</v>
      </c>
      <c r="H41" s="146" t="s">
        <v>22</v>
      </c>
      <c r="I41" s="146" t="s">
        <v>976</v>
      </c>
      <c r="J41" s="146" t="s">
        <v>984</v>
      </c>
      <c r="K41" s="177">
        <v>0</v>
      </c>
      <c r="L41" s="165"/>
      <c r="M41" s="135"/>
      <c r="N41" s="165"/>
      <c r="O41" s="165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  <c r="DQ41" s="166"/>
      <c r="DR41" s="166"/>
      <c r="DS41" s="166"/>
      <c r="DT41" s="166"/>
      <c r="DU41" s="166"/>
      <c r="DV41" s="166"/>
      <c r="DW41" s="166"/>
      <c r="DX41" s="166"/>
      <c r="DY41" s="166"/>
      <c r="DZ41" s="166"/>
      <c r="EA41" s="166"/>
      <c r="EB41" s="166"/>
      <c r="EC41" s="166"/>
      <c r="ED41" s="166"/>
      <c r="EE41" s="166"/>
      <c r="EF41" s="166"/>
      <c r="EG41" s="166"/>
      <c r="EH41" s="166"/>
      <c r="EI41" s="166"/>
      <c r="EJ41" s="166"/>
      <c r="EK41" s="166"/>
      <c r="EL41" s="166"/>
      <c r="EM41" s="166"/>
      <c r="EN41" s="166"/>
      <c r="EO41" s="166"/>
      <c r="EP41" s="166"/>
      <c r="EQ41" s="166"/>
      <c r="ER41" s="166"/>
      <c r="ES41" s="166"/>
      <c r="ET41" s="166"/>
      <c r="EU41" s="166"/>
      <c r="EV41" s="166"/>
      <c r="EW41" s="166"/>
      <c r="EX41" s="166"/>
      <c r="EY41" s="166"/>
      <c r="EZ41" s="166"/>
      <c r="FA41" s="166"/>
      <c r="FB41" s="166"/>
      <c r="FC41" s="166"/>
      <c r="FD41" s="166"/>
      <c r="FE41" s="166"/>
      <c r="FF41" s="166"/>
      <c r="FG41" s="166"/>
      <c r="FH41" s="166"/>
      <c r="FI41" s="166"/>
      <c r="FJ41" s="166"/>
      <c r="FK41" s="166"/>
      <c r="FL41" s="166"/>
      <c r="FM41" s="166"/>
      <c r="FN41" s="166"/>
      <c r="FO41" s="166"/>
      <c r="FP41" s="166"/>
      <c r="FQ41" s="166"/>
      <c r="FR41" s="166"/>
      <c r="FS41" s="166"/>
      <c r="FT41" s="166"/>
      <c r="FU41" s="166"/>
      <c r="FV41" s="166"/>
      <c r="FW41" s="166"/>
      <c r="FX41" s="166"/>
      <c r="FY41" s="166"/>
      <c r="FZ41" s="166"/>
      <c r="GA41" s="166"/>
      <c r="GB41" s="166"/>
      <c r="GC41" s="166"/>
      <c r="GD41" s="166"/>
      <c r="GE41" s="166"/>
      <c r="GF41" s="166"/>
      <c r="GG41" s="166"/>
      <c r="GH41" s="166"/>
      <c r="GI41" s="166"/>
      <c r="GJ41" s="166"/>
      <c r="GK41" s="166"/>
      <c r="GL41" s="166"/>
      <c r="GM41" s="166"/>
      <c r="GN41" s="166"/>
      <c r="GO41" s="166"/>
      <c r="GP41" s="166"/>
      <c r="GQ41" s="166"/>
      <c r="GR41" s="166"/>
      <c r="GS41" s="166"/>
      <c r="GT41" s="166"/>
      <c r="GU41" s="166"/>
      <c r="GV41" s="166"/>
      <c r="GW41" s="166"/>
      <c r="GX41" s="166"/>
      <c r="GY41" s="166"/>
      <c r="GZ41" s="166"/>
      <c r="HA41" s="166"/>
      <c r="HB41" s="166"/>
      <c r="HC41" s="166"/>
      <c r="HD41" s="166"/>
      <c r="HE41" s="166"/>
      <c r="HF41" s="166"/>
      <c r="HG41" s="166"/>
      <c r="HH41" s="166"/>
      <c r="HI41" s="166"/>
      <c r="HJ41" s="166"/>
      <c r="HK41" s="166"/>
      <c r="HL41" s="166"/>
      <c r="HM41" s="166"/>
      <c r="HN41" s="166"/>
      <c r="HO41" s="166"/>
      <c r="HP41" s="166"/>
      <c r="HQ41" s="166"/>
      <c r="HR41" s="166"/>
      <c r="HS41" s="166"/>
      <c r="HT41" s="166"/>
      <c r="HU41" s="166"/>
      <c r="HV41" s="166"/>
      <c r="HW41" s="166"/>
      <c r="HX41" s="166"/>
      <c r="HY41" s="166"/>
      <c r="HZ41" s="166"/>
      <c r="IA41" s="166"/>
      <c r="IB41" s="166"/>
      <c r="IC41" s="166"/>
      <c r="ID41" s="166"/>
      <c r="IE41" s="166"/>
      <c r="IF41" s="166"/>
      <c r="IG41" s="166"/>
      <c r="IH41" s="166"/>
      <c r="II41" s="166"/>
      <c r="IJ41" s="166"/>
      <c r="IK41" s="166"/>
      <c r="IL41" s="166"/>
      <c r="IM41" s="166"/>
      <c r="IN41" s="166"/>
      <c r="IO41" s="166"/>
      <c r="IP41" s="166"/>
      <c r="IQ41" s="166"/>
      <c r="IR41" s="166"/>
      <c r="IS41" s="166"/>
      <c r="IT41" s="166"/>
      <c r="IU41" s="166"/>
      <c r="IV41" s="166"/>
    </row>
    <row r="42" spans="1:256" ht="57">
      <c r="A42" s="146"/>
      <c r="B42" s="178" t="s">
        <v>1021</v>
      </c>
      <c r="C42" s="161" t="s">
        <v>713</v>
      </c>
      <c r="D42" s="161" t="s">
        <v>2</v>
      </c>
      <c r="E42" s="161" t="s">
        <v>3</v>
      </c>
      <c r="F42" s="161" t="s">
        <v>3</v>
      </c>
      <c r="G42" s="161" t="s">
        <v>3</v>
      </c>
      <c r="H42" s="161" t="s">
        <v>3</v>
      </c>
      <c r="I42" s="161" t="s">
        <v>976</v>
      </c>
      <c r="J42" s="161" t="s">
        <v>1</v>
      </c>
      <c r="K42" s="171">
        <f>K13+K29+K38+K18+K24</f>
        <v>35544448.130000114</v>
      </c>
      <c r="L42" s="171"/>
      <c r="M42" s="171"/>
      <c r="N42" s="165"/>
      <c r="O42" s="165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166"/>
      <c r="DC42" s="166"/>
      <c r="DD42" s="166"/>
      <c r="DE42" s="166"/>
      <c r="DF42" s="166"/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6"/>
      <c r="DS42" s="166"/>
      <c r="DT42" s="166"/>
      <c r="DU42" s="166"/>
      <c r="DV42" s="166"/>
      <c r="DW42" s="166"/>
      <c r="DX42" s="166"/>
      <c r="DY42" s="166"/>
      <c r="DZ42" s="166"/>
      <c r="EA42" s="166"/>
      <c r="EB42" s="166"/>
      <c r="EC42" s="166"/>
      <c r="ED42" s="166"/>
      <c r="EE42" s="166"/>
      <c r="EF42" s="166"/>
      <c r="EG42" s="166"/>
      <c r="EH42" s="166"/>
      <c r="EI42" s="166"/>
      <c r="EJ42" s="166"/>
      <c r="EK42" s="166"/>
      <c r="EL42" s="166"/>
      <c r="EM42" s="166"/>
      <c r="EN42" s="166"/>
      <c r="EO42" s="166"/>
      <c r="EP42" s="166"/>
      <c r="EQ42" s="166"/>
      <c r="ER42" s="166"/>
      <c r="ES42" s="166"/>
      <c r="ET42" s="166"/>
      <c r="EU42" s="166"/>
      <c r="EV42" s="166"/>
      <c r="EW42" s="166"/>
      <c r="EX42" s="166"/>
      <c r="EY42" s="166"/>
      <c r="EZ42" s="166"/>
      <c r="FA42" s="166"/>
      <c r="FB42" s="166"/>
      <c r="FC42" s="166"/>
      <c r="FD42" s="166"/>
      <c r="FE42" s="166"/>
      <c r="FF42" s="166"/>
      <c r="FG42" s="166"/>
      <c r="FH42" s="166"/>
      <c r="FI42" s="166"/>
      <c r="FJ42" s="166"/>
      <c r="FK42" s="166"/>
      <c r="FL42" s="166"/>
      <c r="FM42" s="166"/>
      <c r="FN42" s="166"/>
      <c r="FO42" s="166"/>
      <c r="FP42" s="166"/>
      <c r="FQ42" s="166"/>
      <c r="FR42" s="166"/>
      <c r="FS42" s="166"/>
      <c r="FT42" s="166"/>
      <c r="FU42" s="166"/>
      <c r="FV42" s="166"/>
      <c r="FW42" s="166"/>
      <c r="FX42" s="166"/>
      <c r="FY42" s="166"/>
      <c r="FZ42" s="166"/>
      <c r="GA42" s="166"/>
      <c r="GB42" s="166"/>
      <c r="GC42" s="166"/>
      <c r="GD42" s="166"/>
      <c r="GE42" s="166"/>
      <c r="GF42" s="166"/>
      <c r="GG42" s="166"/>
      <c r="GH42" s="166"/>
      <c r="GI42" s="166"/>
      <c r="GJ42" s="166"/>
      <c r="GK42" s="166"/>
      <c r="GL42" s="166"/>
      <c r="GM42" s="166"/>
      <c r="GN42" s="166"/>
      <c r="GO42" s="166"/>
      <c r="GP42" s="166"/>
      <c r="GQ42" s="166"/>
      <c r="GR42" s="166"/>
      <c r="GS42" s="166"/>
      <c r="GT42" s="166"/>
      <c r="GU42" s="166"/>
      <c r="GV42" s="166"/>
      <c r="GW42" s="166"/>
      <c r="GX42" s="166"/>
      <c r="GY42" s="166"/>
      <c r="GZ42" s="166"/>
      <c r="HA42" s="166"/>
      <c r="HB42" s="166"/>
      <c r="HC42" s="166"/>
      <c r="HD42" s="166"/>
      <c r="HE42" s="166"/>
      <c r="HF42" s="166"/>
      <c r="HG42" s="166"/>
      <c r="HH42" s="166"/>
      <c r="HI42" s="166"/>
      <c r="HJ42" s="166"/>
      <c r="HK42" s="166"/>
      <c r="HL42" s="166"/>
      <c r="HM42" s="166"/>
      <c r="HN42" s="166"/>
      <c r="HO42" s="166"/>
      <c r="HP42" s="166"/>
      <c r="HQ42" s="166"/>
      <c r="HR42" s="166"/>
      <c r="HS42" s="166"/>
      <c r="HT42" s="166"/>
      <c r="HU42" s="166"/>
      <c r="HV42" s="166"/>
      <c r="HW42" s="166"/>
      <c r="HX42" s="166"/>
      <c r="HY42" s="166"/>
      <c r="HZ42" s="166"/>
      <c r="IA42" s="166"/>
      <c r="IB42" s="166"/>
      <c r="IC42" s="166"/>
      <c r="ID42" s="166"/>
      <c r="IE42" s="166"/>
      <c r="IF42" s="166"/>
      <c r="IG42" s="166"/>
      <c r="IH42" s="166"/>
      <c r="II42" s="166"/>
      <c r="IJ42" s="166"/>
      <c r="IK42" s="166"/>
      <c r="IL42" s="166"/>
      <c r="IM42" s="166"/>
      <c r="IN42" s="166"/>
      <c r="IO42" s="166"/>
      <c r="IP42" s="166"/>
      <c r="IQ42" s="166"/>
      <c r="IR42" s="166"/>
      <c r="IS42" s="166"/>
      <c r="IT42" s="166"/>
      <c r="IU42" s="166"/>
      <c r="IV42" s="166"/>
    </row>
    <row r="44" ht="15.75">
      <c r="K44" s="152"/>
    </row>
    <row r="45" ht="15.75">
      <c r="K45" s="152"/>
    </row>
    <row r="46" ht="15.75">
      <c r="K46" s="152"/>
    </row>
    <row r="47" ht="15.75">
      <c r="K47" s="135"/>
    </row>
  </sheetData>
  <sheetProtection/>
  <mergeCells count="11">
    <mergeCell ref="J1:K1"/>
    <mergeCell ref="D2:K2"/>
    <mergeCell ref="B3:K3"/>
    <mergeCell ref="B4:K4"/>
    <mergeCell ref="B5:K5"/>
    <mergeCell ref="A7:K7"/>
    <mergeCell ref="A8:K8"/>
    <mergeCell ref="A11:A12"/>
    <mergeCell ref="B11:B12"/>
    <mergeCell ref="C11:J12"/>
    <mergeCell ref="K11:K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1"/>
  <sheetViews>
    <sheetView showGridLines="0" zoomScaleSheetLayoutView="100" zoomScalePageLayoutView="0" workbookViewId="0" topLeftCell="A957">
      <selection activeCell="F207" sqref="F207"/>
    </sheetView>
  </sheetViews>
  <sheetFormatPr defaultColWidth="9.140625" defaultRowHeight="15" outlineLevelRow="6"/>
  <cols>
    <col min="1" max="1" width="55.140625" style="10" customWidth="1"/>
    <col min="2" max="2" width="8.28125" style="10" customWidth="1"/>
    <col min="3" max="3" width="7.57421875" style="10" customWidth="1"/>
    <col min="4" max="4" width="13.28125" style="10" customWidth="1"/>
    <col min="5" max="5" width="7.7109375" style="10" customWidth="1"/>
    <col min="6" max="6" width="19.57421875" style="10" customWidth="1"/>
    <col min="7" max="7" width="22.140625" style="4" customWidth="1"/>
    <col min="8" max="8" width="17.421875" style="21" customWidth="1"/>
    <col min="9" max="9" width="19.57421875" style="10" hidden="1" customWidth="1"/>
    <col min="10" max="10" width="22.140625" style="4" hidden="1" customWidth="1"/>
    <col min="11" max="11" width="13.421875" style="21" hidden="1" customWidth="1"/>
    <col min="12" max="12" width="26.57421875" style="21" hidden="1" customWidth="1"/>
    <col min="13" max="13" width="22.7109375" style="21" hidden="1" customWidth="1"/>
    <col min="14" max="14" width="12.421875" style="21" bestFit="1" customWidth="1"/>
    <col min="15" max="16384" width="9.140625" style="21" customWidth="1"/>
  </cols>
  <sheetData>
    <row r="1" spans="1:10" ht="15" customHeight="1">
      <c r="A1" s="24"/>
      <c r="B1" s="22"/>
      <c r="C1" s="22"/>
      <c r="D1" s="188" t="s">
        <v>420</v>
      </c>
      <c r="E1" s="188"/>
      <c r="F1" s="188"/>
      <c r="G1" s="188"/>
      <c r="I1" s="21"/>
      <c r="J1" s="21"/>
    </row>
    <row r="2" spans="1:10" ht="15.75">
      <c r="A2" s="24"/>
      <c r="B2" s="22"/>
      <c r="D2" s="188" t="s">
        <v>421</v>
      </c>
      <c r="E2" s="188"/>
      <c r="F2" s="188"/>
      <c r="G2" s="188"/>
      <c r="I2" s="21"/>
      <c r="J2" s="21"/>
    </row>
    <row r="3" spans="1:10" ht="15.75" customHeight="1">
      <c r="A3" s="24"/>
      <c r="B3" s="22"/>
      <c r="C3" s="22"/>
      <c r="D3" s="190" t="s">
        <v>720</v>
      </c>
      <c r="E3" s="190"/>
      <c r="F3" s="190"/>
      <c r="G3" s="190"/>
      <c r="I3" s="21"/>
      <c r="J3" s="21"/>
    </row>
    <row r="4" spans="1:10" ht="15.75" customHeight="1">
      <c r="A4" s="188" t="s">
        <v>707</v>
      </c>
      <c r="B4" s="188"/>
      <c r="C4" s="188"/>
      <c r="D4" s="188"/>
      <c r="E4" s="188"/>
      <c r="F4" s="188"/>
      <c r="G4" s="188"/>
      <c r="H4" s="22"/>
      <c r="I4" s="21"/>
      <c r="J4" s="21"/>
    </row>
    <row r="5" spans="1:10" ht="15.75" customHeight="1">
      <c r="A5" s="188"/>
      <c r="B5" s="188"/>
      <c r="C5" s="188"/>
      <c r="D5" s="188"/>
      <c r="E5" s="188"/>
      <c r="F5" s="188"/>
      <c r="G5" s="188"/>
      <c r="H5" s="22"/>
      <c r="I5" s="21"/>
      <c r="J5" s="21"/>
    </row>
    <row r="6" spans="1:10" ht="15.75" customHeight="1">
      <c r="A6" s="24"/>
      <c r="B6" s="22"/>
      <c r="C6" s="22"/>
      <c r="D6" s="62"/>
      <c r="E6" s="62"/>
      <c r="F6" s="62"/>
      <c r="G6" s="62"/>
      <c r="I6" s="62"/>
      <c r="J6" s="62"/>
    </row>
    <row r="7" spans="1:10" ht="48" customHeight="1">
      <c r="A7" s="191" t="s">
        <v>422</v>
      </c>
      <c r="B7" s="191"/>
      <c r="C7" s="191"/>
      <c r="D7" s="191"/>
      <c r="E7" s="191"/>
      <c r="F7" s="191"/>
      <c r="G7" s="191"/>
      <c r="I7" s="21"/>
      <c r="J7" s="21"/>
    </row>
    <row r="8" spans="1:10" ht="12" customHeight="1">
      <c r="A8" s="25"/>
      <c r="B8" s="26"/>
      <c r="C8" s="26"/>
      <c r="D8" s="26"/>
      <c r="E8" s="26"/>
      <c r="F8" s="21"/>
      <c r="G8" s="27" t="s">
        <v>423</v>
      </c>
      <c r="I8" s="21"/>
      <c r="J8" s="27" t="s">
        <v>423</v>
      </c>
    </row>
    <row r="9" spans="1:10" ht="96" customHeight="1">
      <c r="A9" s="11" t="s">
        <v>424</v>
      </c>
      <c r="B9" s="11" t="s">
        <v>425</v>
      </c>
      <c r="C9" s="11" t="s">
        <v>426</v>
      </c>
      <c r="D9" s="11" t="s">
        <v>427</v>
      </c>
      <c r="E9" s="11" t="s">
        <v>428</v>
      </c>
      <c r="F9" s="11" t="s">
        <v>0</v>
      </c>
      <c r="G9" s="61" t="s">
        <v>419</v>
      </c>
      <c r="I9" s="11" t="s">
        <v>0</v>
      </c>
      <c r="J9" s="61" t="s">
        <v>419</v>
      </c>
    </row>
    <row r="10" spans="1:10" ht="15.7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5">
        <v>7</v>
      </c>
      <c r="I10" s="11">
        <v>6</v>
      </c>
      <c r="J10" s="5">
        <v>7</v>
      </c>
    </row>
    <row r="11" spans="1:13" s="68" customFormat="1" ht="24" customHeight="1">
      <c r="A11" s="42" t="s">
        <v>688</v>
      </c>
      <c r="B11" s="43" t="s">
        <v>2</v>
      </c>
      <c r="C11" s="43" t="s">
        <v>3</v>
      </c>
      <c r="D11" s="43" t="s">
        <v>4</v>
      </c>
      <c r="E11" s="43" t="s">
        <v>1</v>
      </c>
      <c r="F11" s="12">
        <f>F12+F30+F49+F125+F148+F152+F144</f>
        <v>210860104.71999997</v>
      </c>
      <c r="G11" s="12">
        <f>G12+G30+G49+G125+G148+G152</f>
        <v>784042</v>
      </c>
      <c r="I11" s="12">
        <v>201918524.93</v>
      </c>
      <c r="J11" s="1">
        <f>J152</f>
        <v>784042</v>
      </c>
      <c r="L11" s="69">
        <f>F11-I11</f>
        <v>8941579.789999962</v>
      </c>
      <c r="M11" s="69">
        <f>G11-J11</f>
        <v>0</v>
      </c>
    </row>
    <row r="12" spans="1:13" s="68" customFormat="1" ht="47.25" outlineLevel="1">
      <c r="A12" s="42" t="s">
        <v>659</v>
      </c>
      <c r="B12" s="43" t="s">
        <v>2</v>
      </c>
      <c r="C12" s="43" t="s">
        <v>5</v>
      </c>
      <c r="D12" s="43" t="s">
        <v>4</v>
      </c>
      <c r="E12" s="43" t="s">
        <v>1</v>
      </c>
      <c r="F12" s="12">
        <f>F13+F22</f>
        <v>2370646</v>
      </c>
      <c r="G12" s="1"/>
      <c r="I12" s="12">
        <v>2246129.49</v>
      </c>
      <c r="J12" s="1"/>
      <c r="L12" s="69">
        <f>F12-I12</f>
        <v>124516.50999999978</v>
      </c>
      <c r="M12" s="69">
        <f>G12-J12</f>
        <v>0</v>
      </c>
    </row>
    <row r="13" spans="1:13" ht="47.25" hidden="1" outlineLevel="2">
      <c r="A13" s="42" t="s">
        <v>652</v>
      </c>
      <c r="B13" s="43" t="s">
        <v>2</v>
      </c>
      <c r="C13" s="43" t="s">
        <v>5</v>
      </c>
      <c r="D13" s="43" t="s">
        <v>6</v>
      </c>
      <c r="E13" s="43" t="s">
        <v>1</v>
      </c>
      <c r="F13" s="12">
        <f>F14</f>
        <v>0</v>
      </c>
      <c r="G13" s="1"/>
      <c r="I13" s="12">
        <v>96826.49</v>
      </c>
      <c r="J13" s="1"/>
      <c r="L13" s="69">
        <f aca="true" t="shared" si="0" ref="L13:L88">F13-I13</f>
        <v>-96826.49</v>
      </c>
      <c r="M13" s="69">
        <f aca="true" t="shared" si="1" ref="M13:M88">G13-J13</f>
        <v>0</v>
      </c>
    </row>
    <row r="14" spans="1:13" ht="31.5" hidden="1" outlineLevel="3">
      <c r="A14" s="42" t="s">
        <v>609</v>
      </c>
      <c r="B14" s="43" t="s">
        <v>2</v>
      </c>
      <c r="C14" s="43" t="s">
        <v>5</v>
      </c>
      <c r="D14" s="43" t="s">
        <v>7</v>
      </c>
      <c r="E14" s="43" t="s">
        <v>1</v>
      </c>
      <c r="F14" s="12">
        <f>F19+F15</f>
        <v>0</v>
      </c>
      <c r="G14" s="1"/>
      <c r="I14" s="12">
        <v>96826.49</v>
      </c>
      <c r="J14" s="1"/>
      <c r="L14" s="69">
        <f t="shared" si="0"/>
        <v>-96826.49</v>
      </c>
      <c r="M14" s="69">
        <f t="shared" si="1"/>
        <v>0</v>
      </c>
    </row>
    <row r="15" spans="1:13" ht="63" hidden="1" outlineLevel="3">
      <c r="A15" s="36" t="s">
        <v>488</v>
      </c>
      <c r="B15" s="37" t="s">
        <v>2</v>
      </c>
      <c r="C15" s="37" t="s">
        <v>5</v>
      </c>
      <c r="D15" s="37" t="s">
        <v>15</v>
      </c>
      <c r="E15" s="37" t="s">
        <v>1</v>
      </c>
      <c r="F15" s="13">
        <f>F16</f>
        <v>0</v>
      </c>
      <c r="G15" s="1"/>
      <c r="I15" s="12"/>
      <c r="J15" s="1"/>
      <c r="L15" s="69"/>
      <c r="M15" s="69"/>
    </row>
    <row r="16" spans="1:13" ht="31.5" hidden="1" outlineLevel="3">
      <c r="A16" s="36" t="s">
        <v>430</v>
      </c>
      <c r="B16" s="37" t="s">
        <v>2</v>
      </c>
      <c r="C16" s="37" t="s">
        <v>5</v>
      </c>
      <c r="D16" s="37" t="s">
        <v>16</v>
      </c>
      <c r="E16" s="37" t="s">
        <v>1</v>
      </c>
      <c r="F16" s="13">
        <f>F17+F18</f>
        <v>0</v>
      </c>
      <c r="G16" s="1"/>
      <c r="I16" s="12"/>
      <c r="J16" s="1"/>
      <c r="L16" s="69"/>
      <c r="M16" s="69"/>
    </row>
    <row r="17" spans="1:13" ht="78.75" hidden="1" outlineLevel="3">
      <c r="A17" s="36" t="s">
        <v>704</v>
      </c>
      <c r="B17" s="37" t="s">
        <v>2</v>
      </c>
      <c r="C17" s="37" t="s">
        <v>5</v>
      </c>
      <c r="D17" s="37" t="s">
        <v>16</v>
      </c>
      <c r="E17" s="37" t="s">
        <v>10</v>
      </c>
      <c r="F17" s="13">
        <f>'Приложение_7 '!G19</f>
        <v>0</v>
      </c>
      <c r="G17" s="1"/>
      <c r="I17" s="12"/>
      <c r="J17" s="1"/>
      <c r="L17" s="69"/>
      <c r="M17" s="69"/>
    </row>
    <row r="18" spans="1:13" ht="31.5" hidden="1" outlineLevel="3">
      <c r="A18" s="36" t="s">
        <v>689</v>
      </c>
      <c r="B18" s="37" t="s">
        <v>2</v>
      </c>
      <c r="C18" s="37" t="s">
        <v>5</v>
      </c>
      <c r="D18" s="37" t="s">
        <v>16</v>
      </c>
      <c r="E18" s="37" t="s">
        <v>17</v>
      </c>
      <c r="F18" s="13">
        <f>'Приложение_7 '!G20</f>
        <v>0</v>
      </c>
      <c r="G18" s="1"/>
      <c r="I18" s="12"/>
      <c r="J18" s="1"/>
      <c r="L18" s="69"/>
      <c r="M18" s="69"/>
    </row>
    <row r="19" spans="1:13" ht="47.25" hidden="1" outlineLevel="4">
      <c r="A19" s="19" t="s">
        <v>487</v>
      </c>
      <c r="B19" s="20" t="s">
        <v>2</v>
      </c>
      <c r="C19" s="20" t="s">
        <v>5</v>
      </c>
      <c r="D19" s="20" t="s">
        <v>8</v>
      </c>
      <c r="E19" s="20" t="s">
        <v>1</v>
      </c>
      <c r="F19" s="13">
        <f>F20</f>
        <v>0</v>
      </c>
      <c r="G19" s="2"/>
      <c r="I19" s="13">
        <v>96826.49</v>
      </c>
      <c r="J19" s="2"/>
      <c r="L19" s="69">
        <f t="shared" si="0"/>
        <v>-96826.49</v>
      </c>
      <c r="M19" s="69">
        <f t="shared" si="1"/>
        <v>0</v>
      </c>
    </row>
    <row r="20" spans="1:13" ht="31.5" hidden="1" outlineLevel="5">
      <c r="A20" s="19" t="s">
        <v>430</v>
      </c>
      <c r="B20" s="20" t="s">
        <v>2</v>
      </c>
      <c r="C20" s="20" t="s">
        <v>5</v>
      </c>
      <c r="D20" s="20" t="s">
        <v>9</v>
      </c>
      <c r="E20" s="20" t="s">
        <v>1</v>
      </c>
      <c r="F20" s="13">
        <f>F21</f>
        <v>0</v>
      </c>
      <c r="G20" s="2"/>
      <c r="I20" s="13">
        <v>96826.49</v>
      </c>
      <c r="J20" s="2"/>
      <c r="L20" s="69">
        <f t="shared" si="0"/>
        <v>-96826.49</v>
      </c>
      <c r="M20" s="69">
        <f t="shared" si="1"/>
        <v>0</v>
      </c>
    </row>
    <row r="21" spans="1:13" ht="78.75" hidden="1" outlineLevel="6">
      <c r="A21" s="19" t="s">
        <v>704</v>
      </c>
      <c r="B21" s="20" t="s">
        <v>2</v>
      </c>
      <c r="C21" s="20" t="s">
        <v>5</v>
      </c>
      <c r="D21" s="20" t="s">
        <v>9</v>
      </c>
      <c r="E21" s="20" t="s">
        <v>10</v>
      </c>
      <c r="F21" s="13">
        <f>'Приложение_7 '!G23</f>
        <v>0</v>
      </c>
      <c r="G21" s="2"/>
      <c r="I21" s="13">
        <v>96826.49</v>
      </c>
      <c r="J21" s="2"/>
      <c r="L21" s="69">
        <f t="shared" si="0"/>
        <v>-96826.49</v>
      </c>
      <c r="M21" s="69">
        <f t="shared" si="1"/>
        <v>0</v>
      </c>
    </row>
    <row r="22" spans="1:13" ht="30.75" customHeight="1" outlineLevel="2" collapsed="1">
      <c r="A22" s="42" t="s">
        <v>490</v>
      </c>
      <c r="B22" s="43" t="s">
        <v>2</v>
      </c>
      <c r="C22" s="43" t="s">
        <v>5</v>
      </c>
      <c r="D22" s="43" t="s">
        <v>11</v>
      </c>
      <c r="E22" s="43" t="s">
        <v>1</v>
      </c>
      <c r="F22" s="12">
        <f>F23+F28+F25</f>
        <v>2370646</v>
      </c>
      <c r="G22" s="1"/>
      <c r="I22" s="12">
        <v>2149303</v>
      </c>
      <c r="J22" s="1"/>
      <c r="L22" s="69">
        <f t="shared" si="0"/>
        <v>221343</v>
      </c>
      <c r="M22" s="69">
        <f t="shared" si="1"/>
        <v>0</v>
      </c>
    </row>
    <row r="23" spans="1:13" ht="31.5" outlineLevel="5">
      <c r="A23" s="19" t="s">
        <v>431</v>
      </c>
      <c r="B23" s="20" t="s">
        <v>2</v>
      </c>
      <c r="C23" s="20" t="s">
        <v>5</v>
      </c>
      <c r="D23" s="20" t="s">
        <v>12</v>
      </c>
      <c r="E23" s="20" t="s">
        <v>1</v>
      </c>
      <c r="F23" s="13">
        <f>F24</f>
        <v>2124303</v>
      </c>
      <c r="G23" s="2"/>
      <c r="I23" s="13">
        <v>2124303</v>
      </c>
      <c r="J23" s="2"/>
      <c r="L23" s="69">
        <f t="shared" si="0"/>
        <v>0</v>
      </c>
      <c r="M23" s="69">
        <f t="shared" si="1"/>
        <v>0</v>
      </c>
    </row>
    <row r="24" spans="1:13" ht="78.75" outlineLevel="6">
      <c r="A24" s="19" t="s">
        <v>704</v>
      </c>
      <c r="B24" s="20" t="s">
        <v>2</v>
      </c>
      <c r="C24" s="20" t="s">
        <v>5</v>
      </c>
      <c r="D24" s="20" t="s">
        <v>12</v>
      </c>
      <c r="E24" s="20" t="s">
        <v>10</v>
      </c>
      <c r="F24" s="13">
        <v>2124303</v>
      </c>
      <c r="G24" s="2"/>
      <c r="I24" s="13">
        <v>2124303</v>
      </c>
      <c r="J24" s="2"/>
      <c r="L24" s="69">
        <f t="shared" si="0"/>
        <v>0</v>
      </c>
      <c r="M24" s="69">
        <f t="shared" si="1"/>
        <v>0</v>
      </c>
    </row>
    <row r="25" spans="1:13" ht="31.5" outlineLevel="6">
      <c r="A25" s="36" t="s">
        <v>945</v>
      </c>
      <c r="B25" s="37" t="s">
        <v>2</v>
      </c>
      <c r="C25" s="37" t="s">
        <v>5</v>
      </c>
      <c r="D25" s="37" t="s">
        <v>946</v>
      </c>
      <c r="E25" s="37" t="s">
        <v>1</v>
      </c>
      <c r="F25" s="13">
        <f>F27+F26</f>
        <v>221343</v>
      </c>
      <c r="G25" s="2"/>
      <c r="I25" s="13"/>
      <c r="J25" s="2"/>
      <c r="L25" s="69"/>
      <c r="M25" s="69"/>
    </row>
    <row r="26" spans="1:13" ht="78.75" outlineLevel="6">
      <c r="A26" s="36" t="s">
        <v>704</v>
      </c>
      <c r="B26" s="37" t="s">
        <v>2</v>
      </c>
      <c r="C26" s="37" t="s">
        <v>5</v>
      </c>
      <c r="D26" s="37" t="s">
        <v>946</v>
      </c>
      <c r="E26" s="37" t="s">
        <v>10</v>
      </c>
      <c r="F26" s="13">
        <f>'Приложение_7 '!G28</f>
        <v>173343</v>
      </c>
      <c r="G26" s="2"/>
      <c r="I26" s="13"/>
      <c r="J26" s="2"/>
      <c r="L26" s="69"/>
      <c r="M26" s="69"/>
    </row>
    <row r="27" spans="1:13" ht="31.5" outlineLevel="6">
      <c r="A27" s="36" t="s">
        <v>689</v>
      </c>
      <c r="B27" s="37" t="s">
        <v>2</v>
      </c>
      <c r="C27" s="37" t="s">
        <v>5</v>
      </c>
      <c r="D27" s="37" t="s">
        <v>946</v>
      </c>
      <c r="E27" s="37" t="s">
        <v>17</v>
      </c>
      <c r="F27" s="13">
        <f>'Приложение_7 '!G29</f>
        <v>48000</v>
      </c>
      <c r="G27" s="2"/>
      <c r="I27" s="13"/>
      <c r="J27" s="2"/>
      <c r="L27" s="69"/>
      <c r="M27" s="69"/>
    </row>
    <row r="28" spans="1:13" ht="63" outlineLevel="5">
      <c r="A28" s="19" t="s">
        <v>432</v>
      </c>
      <c r="B28" s="20" t="s">
        <v>2</v>
      </c>
      <c r="C28" s="20" t="s">
        <v>5</v>
      </c>
      <c r="D28" s="20" t="s">
        <v>13</v>
      </c>
      <c r="E28" s="20" t="s">
        <v>1</v>
      </c>
      <c r="F28" s="13">
        <f>F29</f>
        <v>25000</v>
      </c>
      <c r="G28" s="1"/>
      <c r="I28" s="13">
        <v>25000</v>
      </c>
      <c r="J28" s="1"/>
      <c r="L28" s="69">
        <f t="shared" si="0"/>
        <v>0</v>
      </c>
      <c r="M28" s="69">
        <f t="shared" si="1"/>
        <v>0</v>
      </c>
    </row>
    <row r="29" spans="1:13" ht="78.75" outlineLevel="6">
      <c r="A29" s="19" t="s">
        <v>704</v>
      </c>
      <c r="B29" s="20" t="s">
        <v>2</v>
      </c>
      <c r="C29" s="20" t="s">
        <v>5</v>
      </c>
      <c r="D29" s="20" t="s">
        <v>13</v>
      </c>
      <c r="E29" s="20" t="s">
        <v>10</v>
      </c>
      <c r="F29" s="13">
        <f>'Приложение_7 '!G31</f>
        <v>25000</v>
      </c>
      <c r="G29" s="2"/>
      <c r="I29" s="13">
        <v>25000</v>
      </c>
      <c r="J29" s="2"/>
      <c r="L29" s="69">
        <f t="shared" si="0"/>
        <v>0</v>
      </c>
      <c r="M29" s="69">
        <f t="shared" si="1"/>
        <v>0</v>
      </c>
    </row>
    <row r="30" spans="1:13" s="68" customFormat="1" ht="70.5" customHeight="1" outlineLevel="1">
      <c r="A30" s="42" t="s">
        <v>660</v>
      </c>
      <c r="B30" s="43" t="s">
        <v>2</v>
      </c>
      <c r="C30" s="43" t="s">
        <v>14</v>
      </c>
      <c r="D30" s="43" t="s">
        <v>4</v>
      </c>
      <c r="E30" s="43" t="s">
        <v>1</v>
      </c>
      <c r="F30" s="12">
        <f>F31+F40</f>
        <v>3474648.95</v>
      </c>
      <c r="G30" s="1"/>
      <c r="I30" s="12">
        <v>4916157</v>
      </c>
      <c r="J30" s="1"/>
      <c r="L30" s="69">
        <f t="shared" si="0"/>
        <v>-1441508.0499999998</v>
      </c>
      <c r="M30" s="69">
        <f t="shared" si="1"/>
        <v>0</v>
      </c>
    </row>
    <row r="31" spans="1:13" ht="47.25" outlineLevel="2">
      <c r="A31" s="42" t="s">
        <v>652</v>
      </c>
      <c r="B31" s="43" t="s">
        <v>2</v>
      </c>
      <c r="C31" s="43" t="s">
        <v>14</v>
      </c>
      <c r="D31" s="43" t="s">
        <v>6</v>
      </c>
      <c r="E31" s="43" t="s">
        <v>1</v>
      </c>
      <c r="F31" s="12">
        <f>F32</f>
        <v>16432</v>
      </c>
      <c r="G31" s="1"/>
      <c r="I31" s="12">
        <v>80932</v>
      </c>
      <c r="J31" s="1"/>
      <c r="L31" s="69">
        <f t="shared" si="0"/>
        <v>-64500</v>
      </c>
      <c r="M31" s="69">
        <f t="shared" si="1"/>
        <v>0</v>
      </c>
    </row>
    <row r="32" spans="1:13" ht="31.5" outlineLevel="3">
      <c r="A32" s="42" t="s">
        <v>609</v>
      </c>
      <c r="B32" s="43" t="s">
        <v>2</v>
      </c>
      <c r="C32" s="43" t="s">
        <v>14</v>
      </c>
      <c r="D32" s="43" t="s">
        <v>7</v>
      </c>
      <c r="E32" s="43" t="s">
        <v>1</v>
      </c>
      <c r="F32" s="12">
        <f>F33+F37</f>
        <v>16432</v>
      </c>
      <c r="G32" s="1"/>
      <c r="I32" s="12">
        <v>80932</v>
      </c>
      <c r="J32" s="1"/>
      <c r="L32" s="69">
        <f t="shared" si="0"/>
        <v>-64500</v>
      </c>
      <c r="M32" s="69">
        <f t="shared" si="1"/>
        <v>0</v>
      </c>
    </row>
    <row r="33" spans="1:13" ht="63" outlineLevel="4">
      <c r="A33" s="19" t="s">
        <v>488</v>
      </c>
      <c r="B33" s="20" t="s">
        <v>2</v>
      </c>
      <c r="C33" s="20" t="s">
        <v>14</v>
      </c>
      <c r="D33" s="20" t="s">
        <v>15</v>
      </c>
      <c r="E33" s="20" t="s">
        <v>1</v>
      </c>
      <c r="F33" s="13">
        <f>F34</f>
        <v>7300</v>
      </c>
      <c r="G33" s="2"/>
      <c r="I33" s="13">
        <v>71800</v>
      </c>
      <c r="J33" s="2"/>
      <c r="L33" s="69">
        <f t="shared" si="0"/>
        <v>-64500</v>
      </c>
      <c r="M33" s="69">
        <f t="shared" si="1"/>
        <v>0</v>
      </c>
    </row>
    <row r="34" spans="1:13" ht="31.5" outlineLevel="5">
      <c r="A34" s="19" t="s">
        <v>430</v>
      </c>
      <c r="B34" s="20" t="s">
        <v>2</v>
      </c>
      <c r="C34" s="20" t="s">
        <v>14</v>
      </c>
      <c r="D34" s="20" t="s">
        <v>16</v>
      </c>
      <c r="E34" s="20" t="s">
        <v>1</v>
      </c>
      <c r="F34" s="13">
        <f>F35+F36</f>
        <v>7300</v>
      </c>
      <c r="G34" s="2"/>
      <c r="I34" s="13">
        <v>71800</v>
      </c>
      <c r="J34" s="2"/>
      <c r="L34" s="69">
        <f t="shared" si="0"/>
        <v>-64500</v>
      </c>
      <c r="M34" s="69">
        <f t="shared" si="1"/>
        <v>0</v>
      </c>
    </row>
    <row r="35" spans="1:13" ht="78.75" outlineLevel="6">
      <c r="A35" s="19" t="s">
        <v>704</v>
      </c>
      <c r="B35" s="20" t="s">
        <v>2</v>
      </c>
      <c r="C35" s="20" t="s">
        <v>14</v>
      </c>
      <c r="D35" s="20" t="s">
        <v>16</v>
      </c>
      <c r="E35" s="20" t="s">
        <v>10</v>
      </c>
      <c r="F35" s="13">
        <f>'Приложение_7 '!G37</f>
        <v>400</v>
      </c>
      <c r="G35" s="2"/>
      <c r="I35" s="13">
        <v>32300</v>
      </c>
      <c r="J35" s="2"/>
      <c r="L35" s="69">
        <f t="shared" si="0"/>
        <v>-31900</v>
      </c>
      <c r="M35" s="69">
        <f t="shared" si="1"/>
        <v>0</v>
      </c>
    </row>
    <row r="36" spans="1:13" ht="31.5" outlineLevel="6">
      <c r="A36" s="19" t="s">
        <v>689</v>
      </c>
      <c r="B36" s="20" t="s">
        <v>2</v>
      </c>
      <c r="C36" s="20" t="s">
        <v>14</v>
      </c>
      <c r="D36" s="20" t="s">
        <v>16</v>
      </c>
      <c r="E36" s="20" t="s">
        <v>17</v>
      </c>
      <c r="F36" s="13">
        <f>'Приложение_7 '!G38</f>
        <v>6900</v>
      </c>
      <c r="G36" s="2"/>
      <c r="I36" s="13">
        <v>39500</v>
      </c>
      <c r="J36" s="2"/>
      <c r="L36" s="69">
        <f t="shared" si="0"/>
        <v>-32600</v>
      </c>
      <c r="M36" s="69">
        <f t="shared" si="1"/>
        <v>0</v>
      </c>
    </row>
    <row r="37" spans="1:13" ht="15.75" outlineLevel="4">
      <c r="A37" s="19" t="s">
        <v>489</v>
      </c>
      <c r="B37" s="20" t="s">
        <v>2</v>
      </c>
      <c r="C37" s="20" t="s">
        <v>14</v>
      </c>
      <c r="D37" s="20" t="s">
        <v>18</v>
      </c>
      <c r="E37" s="20" t="s">
        <v>1</v>
      </c>
      <c r="F37" s="13">
        <f>F38</f>
        <v>9132</v>
      </c>
      <c r="G37" s="2"/>
      <c r="I37" s="13">
        <v>9132</v>
      </c>
      <c r="J37" s="2"/>
      <c r="L37" s="69">
        <f t="shared" si="0"/>
        <v>0</v>
      </c>
      <c r="M37" s="69">
        <f t="shared" si="1"/>
        <v>0</v>
      </c>
    </row>
    <row r="38" spans="1:13" ht="31.5" outlineLevel="5">
      <c r="A38" s="19" t="s">
        <v>430</v>
      </c>
      <c r="B38" s="20" t="s">
        <v>2</v>
      </c>
      <c r="C38" s="20" t="s">
        <v>14</v>
      </c>
      <c r="D38" s="20" t="s">
        <v>19</v>
      </c>
      <c r="E38" s="20" t="s">
        <v>1</v>
      </c>
      <c r="F38" s="13">
        <f>F39</f>
        <v>9132</v>
      </c>
      <c r="G38" s="2"/>
      <c r="I38" s="13">
        <v>9132</v>
      </c>
      <c r="J38" s="2"/>
      <c r="L38" s="69">
        <f t="shared" si="0"/>
        <v>0</v>
      </c>
      <c r="M38" s="69">
        <f t="shared" si="1"/>
        <v>0</v>
      </c>
    </row>
    <row r="39" spans="1:13" ht="31.5" outlineLevel="6">
      <c r="A39" s="19" t="s">
        <v>689</v>
      </c>
      <c r="B39" s="20" t="s">
        <v>2</v>
      </c>
      <c r="C39" s="20" t="s">
        <v>14</v>
      </c>
      <c r="D39" s="20" t="s">
        <v>19</v>
      </c>
      <c r="E39" s="20" t="s">
        <v>17</v>
      </c>
      <c r="F39" s="13">
        <f>'Приложение_7 '!G41</f>
        <v>9132</v>
      </c>
      <c r="G39" s="2"/>
      <c r="I39" s="13">
        <v>9132</v>
      </c>
      <c r="J39" s="2"/>
      <c r="L39" s="69">
        <f t="shared" si="0"/>
        <v>0</v>
      </c>
      <c r="M39" s="69">
        <f t="shared" si="1"/>
        <v>0</v>
      </c>
    </row>
    <row r="40" spans="1:13" ht="15.75" outlineLevel="2">
      <c r="A40" s="42" t="s">
        <v>490</v>
      </c>
      <c r="B40" s="43" t="s">
        <v>2</v>
      </c>
      <c r="C40" s="43" t="s">
        <v>14</v>
      </c>
      <c r="D40" s="43" t="s">
        <v>11</v>
      </c>
      <c r="E40" s="43" t="s">
        <v>1</v>
      </c>
      <c r="F40" s="12">
        <f>F41+F43+F47+F45</f>
        <v>3458216.95</v>
      </c>
      <c r="G40" s="1"/>
      <c r="I40" s="12">
        <v>4835225</v>
      </c>
      <c r="J40" s="1"/>
      <c r="L40" s="69">
        <f t="shared" si="0"/>
        <v>-1377008.0499999998</v>
      </c>
      <c r="M40" s="69">
        <f t="shared" si="1"/>
        <v>0</v>
      </c>
    </row>
    <row r="41" spans="1:13" ht="47.25" hidden="1" outlineLevel="5">
      <c r="A41" s="19" t="s">
        <v>433</v>
      </c>
      <c r="B41" s="20" t="s">
        <v>2</v>
      </c>
      <c r="C41" s="20" t="s">
        <v>14</v>
      </c>
      <c r="D41" s="20" t="s">
        <v>20</v>
      </c>
      <c r="E41" s="20" t="s">
        <v>1</v>
      </c>
      <c r="F41" s="13">
        <f>F42</f>
        <v>0</v>
      </c>
      <c r="G41" s="2"/>
      <c r="I41" s="13">
        <v>1714645</v>
      </c>
      <c r="J41" s="2"/>
      <c r="L41" s="69">
        <f t="shared" si="0"/>
        <v>-1714645</v>
      </c>
      <c r="M41" s="69">
        <f t="shared" si="1"/>
        <v>0</v>
      </c>
    </row>
    <row r="42" spans="1:13" ht="78.75" hidden="1" outlineLevel="6">
      <c r="A42" s="19" t="s">
        <v>704</v>
      </c>
      <c r="B42" s="20" t="s">
        <v>2</v>
      </c>
      <c r="C42" s="20" t="s">
        <v>14</v>
      </c>
      <c r="D42" s="20" t="s">
        <v>20</v>
      </c>
      <c r="E42" s="20" t="s">
        <v>10</v>
      </c>
      <c r="F42" s="13">
        <f>'Приложение_7 '!G44</f>
        <v>0</v>
      </c>
      <c r="G42" s="2"/>
      <c r="I42" s="13">
        <v>1714645</v>
      </c>
      <c r="J42" s="2"/>
      <c r="L42" s="69">
        <f t="shared" si="0"/>
        <v>-1714645</v>
      </c>
      <c r="M42" s="69">
        <f t="shared" si="1"/>
        <v>0</v>
      </c>
    </row>
    <row r="43" spans="1:13" ht="31.5" outlineLevel="5" collapsed="1">
      <c r="A43" s="19" t="s">
        <v>434</v>
      </c>
      <c r="B43" s="20" t="s">
        <v>2</v>
      </c>
      <c r="C43" s="20" t="s">
        <v>14</v>
      </c>
      <c r="D43" s="20" t="s">
        <v>21</v>
      </c>
      <c r="E43" s="20" t="s">
        <v>1</v>
      </c>
      <c r="F43" s="13">
        <f>F44</f>
        <v>2987580</v>
      </c>
      <c r="G43" s="1"/>
      <c r="I43" s="13">
        <v>2987580</v>
      </c>
      <c r="J43" s="1"/>
      <c r="L43" s="69">
        <f t="shared" si="0"/>
        <v>0</v>
      </c>
      <c r="M43" s="69">
        <f t="shared" si="1"/>
        <v>0</v>
      </c>
    </row>
    <row r="44" spans="1:13" ht="78.75" outlineLevel="6">
      <c r="A44" s="19" t="s">
        <v>704</v>
      </c>
      <c r="B44" s="20" t="s">
        <v>2</v>
      </c>
      <c r="C44" s="20" t="s">
        <v>14</v>
      </c>
      <c r="D44" s="20" t="s">
        <v>21</v>
      </c>
      <c r="E44" s="20" t="s">
        <v>10</v>
      </c>
      <c r="F44" s="13">
        <f>'Приложение_7 '!G46</f>
        <v>2987580</v>
      </c>
      <c r="G44" s="2"/>
      <c r="I44" s="13">
        <v>2987580</v>
      </c>
      <c r="J44" s="2"/>
      <c r="L44" s="69">
        <f t="shared" si="0"/>
        <v>0</v>
      </c>
      <c r="M44" s="69">
        <f t="shared" si="1"/>
        <v>0</v>
      </c>
    </row>
    <row r="45" spans="1:13" ht="47.25" outlineLevel="6">
      <c r="A45" s="36" t="s">
        <v>436</v>
      </c>
      <c r="B45" s="37" t="s">
        <v>2</v>
      </c>
      <c r="C45" s="37" t="s">
        <v>14</v>
      </c>
      <c r="D45" s="37" t="s">
        <v>62</v>
      </c>
      <c r="E45" s="37" t="s">
        <v>1</v>
      </c>
      <c r="F45" s="13">
        <f>F46</f>
        <v>306387.97</v>
      </c>
      <c r="G45" s="2"/>
      <c r="I45" s="13"/>
      <c r="J45" s="2"/>
      <c r="L45" s="69"/>
      <c r="M45" s="69"/>
    </row>
    <row r="46" spans="1:13" ht="78.75" outlineLevel="6">
      <c r="A46" s="36" t="s">
        <v>704</v>
      </c>
      <c r="B46" s="37" t="s">
        <v>2</v>
      </c>
      <c r="C46" s="37" t="s">
        <v>14</v>
      </c>
      <c r="D46" s="37" t="s">
        <v>62</v>
      </c>
      <c r="E46" s="37" t="s">
        <v>10</v>
      </c>
      <c r="F46" s="13">
        <f>'Приложение_7 '!G47</f>
        <v>306387.97</v>
      </c>
      <c r="G46" s="2"/>
      <c r="I46" s="13"/>
      <c r="J46" s="2"/>
      <c r="L46" s="69"/>
      <c r="M46" s="69"/>
    </row>
    <row r="47" spans="1:13" ht="63" outlineLevel="5">
      <c r="A47" s="19" t="s">
        <v>432</v>
      </c>
      <c r="B47" s="20" t="s">
        <v>2</v>
      </c>
      <c r="C47" s="20" t="s">
        <v>14</v>
      </c>
      <c r="D47" s="20" t="s">
        <v>13</v>
      </c>
      <c r="E47" s="20" t="s">
        <v>1</v>
      </c>
      <c r="F47" s="13">
        <f>F48</f>
        <v>164248.98</v>
      </c>
      <c r="G47" s="2"/>
      <c r="I47" s="13">
        <v>133000</v>
      </c>
      <c r="J47" s="2"/>
      <c r="L47" s="69">
        <f t="shared" si="0"/>
        <v>31248.98000000001</v>
      </c>
      <c r="M47" s="69">
        <f t="shared" si="1"/>
        <v>0</v>
      </c>
    </row>
    <row r="48" spans="1:13" ht="78.75" outlineLevel="6">
      <c r="A48" s="19" t="s">
        <v>704</v>
      </c>
      <c r="B48" s="20" t="s">
        <v>2</v>
      </c>
      <c r="C48" s="20" t="s">
        <v>14</v>
      </c>
      <c r="D48" s="20" t="s">
        <v>13</v>
      </c>
      <c r="E48" s="20" t="s">
        <v>10</v>
      </c>
      <c r="F48" s="13">
        <f>'Приложение_7 '!G50</f>
        <v>164248.98</v>
      </c>
      <c r="G48" s="2"/>
      <c r="I48" s="13">
        <v>133000</v>
      </c>
      <c r="J48" s="2"/>
      <c r="L48" s="69">
        <f t="shared" si="0"/>
        <v>31248.98000000001</v>
      </c>
      <c r="M48" s="69">
        <f t="shared" si="1"/>
        <v>0</v>
      </c>
    </row>
    <row r="49" spans="1:13" s="68" customFormat="1" ht="63" outlineLevel="1">
      <c r="A49" s="42" t="s">
        <v>661</v>
      </c>
      <c r="B49" s="43" t="s">
        <v>2</v>
      </c>
      <c r="C49" s="43" t="s">
        <v>22</v>
      </c>
      <c r="D49" s="43" t="s">
        <v>4</v>
      </c>
      <c r="E49" s="43" t="s">
        <v>1</v>
      </c>
      <c r="F49" s="12">
        <f>F50+F74+F84</f>
        <v>78979973.1</v>
      </c>
      <c r="G49" s="1"/>
      <c r="I49" s="12">
        <v>78676842.02</v>
      </c>
      <c r="J49" s="1"/>
      <c r="L49" s="69">
        <f t="shared" si="0"/>
        <v>303131.0799999982</v>
      </c>
      <c r="M49" s="69">
        <f t="shared" si="1"/>
        <v>0</v>
      </c>
    </row>
    <row r="50" spans="1:13" ht="31.5" outlineLevel="2">
      <c r="A50" s="42" t="s">
        <v>653</v>
      </c>
      <c r="B50" s="43" t="s">
        <v>2</v>
      </c>
      <c r="C50" s="43" t="s">
        <v>22</v>
      </c>
      <c r="D50" s="43" t="s">
        <v>23</v>
      </c>
      <c r="E50" s="43" t="s">
        <v>1</v>
      </c>
      <c r="F50" s="12">
        <f>F51</f>
        <v>16476318.659999998</v>
      </c>
      <c r="G50" s="1"/>
      <c r="I50" s="12">
        <v>16476318.66</v>
      </c>
      <c r="J50" s="1"/>
      <c r="L50" s="69">
        <f t="shared" si="0"/>
        <v>0</v>
      </c>
      <c r="M50" s="69">
        <f t="shared" si="1"/>
        <v>0</v>
      </c>
    </row>
    <row r="51" spans="1:13" ht="47.25" outlineLevel="3">
      <c r="A51" s="42" t="s">
        <v>610</v>
      </c>
      <c r="B51" s="43" t="s">
        <v>2</v>
      </c>
      <c r="C51" s="43" t="s">
        <v>22</v>
      </c>
      <c r="D51" s="43" t="s">
        <v>24</v>
      </c>
      <c r="E51" s="43" t="s">
        <v>1</v>
      </c>
      <c r="F51" s="12">
        <f>F52+F4+F55+F60+F67</f>
        <v>16476318.659999998</v>
      </c>
      <c r="G51" s="1"/>
      <c r="I51" s="12">
        <v>16476318.66</v>
      </c>
      <c r="J51" s="1"/>
      <c r="L51" s="69">
        <f t="shared" si="0"/>
        <v>0</v>
      </c>
      <c r="M51" s="69">
        <f t="shared" si="1"/>
        <v>0</v>
      </c>
    </row>
    <row r="52" spans="1:13" ht="126" outlineLevel="4">
      <c r="A52" s="19" t="s">
        <v>491</v>
      </c>
      <c r="B52" s="20" t="s">
        <v>2</v>
      </c>
      <c r="C52" s="20" t="s">
        <v>22</v>
      </c>
      <c r="D52" s="20" t="s">
        <v>25</v>
      </c>
      <c r="E52" s="20" t="s">
        <v>1</v>
      </c>
      <c r="F52" s="13">
        <f>F53</f>
        <v>484246.3100000001</v>
      </c>
      <c r="G52" s="2"/>
      <c r="I52" s="13">
        <v>1373779.26</v>
      </c>
      <c r="J52" s="2"/>
      <c r="L52" s="69">
        <f t="shared" si="0"/>
        <v>-889532.95</v>
      </c>
      <c r="M52" s="69">
        <f t="shared" si="1"/>
        <v>0</v>
      </c>
    </row>
    <row r="53" spans="1:13" ht="31.5" outlineLevel="5">
      <c r="A53" s="19" t="s">
        <v>434</v>
      </c>
      <c r="B53" s="20" t="s">
        <v>2</v>
      </c>
      <c r="C53" s="20" t="s">
        <v>22</v>
      </c>
      <c r="D53" s="20" t="s">
        <v>26</v>
      </c>
      <c r="E53" s="20" t="s">
        <v>1</v>
      </c>
      <c r="F53" s="13">
        <f>F54</f>
        <v>484246.3100000001</v>
      </c>
      <c r="G53" s="2"/>
      <c r="I53" s="13">
        <v>1373779.26</v>
      </c>
      <c r="J53" s="2"/>
      <c r="L53" s="69">
        <f t="shared" si="0"/>
        <v>-889532.95</v>
      </c>
      <c r="M53" s="69">
        <f t="shared" si="1"/>
        <v>0</v>
      </c>
    </row>
    <row r="54" spans="1:13" ht="78.75" outlineLevel="6">
      <c r="A54" s="19" t="s">
        <v>704</v>
      </c>
      <c r="B54" s="20" t="s">
        <v>2</v>
      </c>
      <c r="C54" s="20" t="s">
        <v>22</v>
      </c>
      <c r="D54" s="20" t="s">
        <v>26</v>
      </c>
      <c r="E54" s="20" t="s">
        <v>10</v>
      </c>
      <c r="F54" s="13">
        <f>'Приложение_7 '!G648</f>
        <v>484246.3100000001</v>
      </c>
      <c r="G54" s="2"/>
      <c r="I54" s="13">
        <v>1373779.26</v>
      </c>
      <c r="J54" s="2"/>
      <c r="L54" s="69">
        <f t="shared" si="0"/>
        <v>-889532.95</v>
      </c>
      <c r="M54" s="69">
        <f t="shared" si="1"/>
        <v>0</v>
      </c>
    </row>
    <row r="55" spans="1:13" ht="78.75" outlineLevel="4">
      <c r="A55" s="19" t="s">
        <v>492</v>
      </c>
      <c r="B55" s="20" t="s">
        <v>2</v>
      </c>
      <c r="C55" s="20" t="s">
        <v>22</v>
      </c>
      <c r="D55" s="20" t="s">
        <v>27</v>
      </c>
      <c r="E55" s="20" t="s">
        <v>1</v>
      </c>
      <c r="F55" s="13">
        <f>F56+F58</f>
        <v>2897595.5199999996</v>
      </c>
      <c r="G55" s="2"/>
      <c r="I55" s="13">
        <v>2124094.82</v>
      </c>
      <c r="J55" s="2"/>
      <c r="L55" s="69">
        <f t="shared" si="0"/>
        <v>773500.6999999997</v>
      </c>
      <c r="M55" s="69">
        <f t="shared" si="1"/>
        <v>0</v>
      </c>
    </row>
    <row r="56" spans="1:13" ht="31.5" outlineLevel="5">
      <c r="A56" s="19" t="s">
        <v>434</v>
      </c>
      <c r="B56" s="20" t="s">
        <v>2</v>
      </c>
      <c r="C56" s="20" t="s">
        <v>22</v>
      </c>
      <c r="D56" s="20" t="s">
        <v>28</v>
      </c>
      <c r="E56" s="20" t="s">
        <v>1</v>
      </c>
      <c r="F56" s="13">
        <f>F57</f>
        <v>2869995.5199999996</v>
      </c>
      <c r="G56" s="2"/>
      <c r="I56" s="13">
        <v>2099094.82</v>
      </c>
      <c r="J56" s="2"/>
      <c r="L56" s="69">
        <f t="shared" si="0"/>
        <v>770900.6999999997</v>
      </c>
      <c r="M56" s="69">
        <f t="shared" si="1"/>
        <v>0</v>
      </c>
    </row>
    <row r="57" spans="1:13" ht="78.75" outlineLevel="6">
      <c r="A57" s="19" t="s">
        <v>704</v>
      </c>
      <c r="B57" s="20" t="s">
        <v>2</v>
      </c>
      <c r="C57" s="20" t="s">
        <v>22</v>
      </c>
      <c r="D57" s="20" t="s">
        <v>28</v>
      </c>
      <c r="E57" s="20" t="s">
        <v>10</v>
      </c>
      <c r="F57" s="13">
        <f>'Приложение_7 '!G651</f>
        <v>2869995.5199999996</v>
      </c>
      <c r="G57" s="2"/>
      <c r="I57" s="13">
        <v>2099094.82</v>
      </c>
      <c r="J57" s="2"/>
      <c r="L57" s="69">
        <f t="shared" si="0"/>
        <v>770900.6999999997</v>
      </c>
      <c r="M57" s="69">
        <f t="shared" si="1"/>
        <v>0</v>
      </c>
    </row>
    <row r="58" spans="1:13" ht="63" outlineLevel="5">
      <c r="A58" s="19" t="s">
        <v>432</v>
      </c>
      <c r="B58" s="20" t="s">
        <v>2</v>
      </c>
      <c r="C58" s="20" t="s">
        <v>22</v>
      </c>
      <c r="D58" s="20" t="s">
        <v>29</v>
      </c>
      <c r="E58" s="20" t="s">
        <v>1</v>
      </c>
      <c r="F58" s="13">
        <f>F59</f>
        <v>27600</v>
      </c>
      <c r="G58" s="2"/>
      <c r="I58" s="13">
        <v>25000</v>
      </c>
      <c r="J58" s="2"/>
      <c r="L58" s="69">
        <f t="shared" si="0"/>
        <v>2600</v>
      </c>
      <c r="M58" s="69">
        <f t="shared" si="1"/>
        <v>0</v>
      </c>
    </row>
    <row r="59" spans="1:13" ht="78.75" outlineLevel="6">
      <c r="A59" s="19" t="s">
        <v>704</v>
      </c>
      <c r="B59" s="20" t="s">
        <v>2</v>
      </c>
      <c r="C59" s="20" t="s">
        <v>22</v>
      </c>
      <c r="D59" s="20" t="s">
        <v>29</v>
      </c>
      <c r="E59" s="20" t="s">
        <v>10</v>
      </c>
      <c r="F59" s="13">
        <f>'Приложение_7 '!G653</f>
        <v>27600</v>
      </c>
      <c r="G59" s="2"/>
      <c r="I59" s="13">
        <v>25000</v>
      </c>
      <c r="J59" s="2"/>
      <c r="L59" s="69">
        <f t="shared" si="0"/>
        <v>2600</v>
      </c>
      <c r="M59" s="69">
        <f t="shared" si="1"/>
        <v>0</v>
      </c>
    </row>
    <row r="60" spans="1:13" ht="110.25" outlineLevel="4">
      <c r="A60" s="19" t="s">
        <v>493</v>
      </c>
      <c r="B60" s="20" t="s">
        <v>2</v>
      </c>
      <c r="C60" s="20" t="s">
        <v>22</v>
      </c>
      <c r="D60" s="20" t="s">
        <v>30</v>
      </c>
      <c r="E60" s="20" t="s">
        <v>1</v>
      </c>
      <c r="F60" s="13">
        <f>F61+F63+F65</f>
        <v>6074534.6</v>
      </c>
      <c r="G60" s="2"/>
      <c r="I60" s="13">
        <v>5902579.31</v>
      </c>
      <c r="J60" s="2"/>
      <c r="L60" s="69">
        <f t="shared" si="0"/>
        <v>171955.29000000004</v>
      </c>
      <c r="M60" s="69">
        <f t="shared" si="1"/>
        <v>0</v>
      </c>
    </row>
    <row r="61" spans="1:13" ht="31.5" outlineLevel="5">
      <c r="A61" s="19" t="s">
        <v>434</v>
      </c>
      <c r="B61" s="20" t="s">
        <v>2</v>
      </c>
      <c r="C61" s="20" t="s">
        <v>22</v>
      </c>
      <c r="D61" s="20" t="s">
        <v>31</v>
      </c>
      <c r="E61" s="20" t="s">
        <v>1</v>
      </c>
      <c r="F61" s="13">
        <f>F62</f>
        <v>5934097.8</v>
      </c>
      <c r="G61" s="2"/>
      <c r="I61" s="13">
        <v>5841197.31</v>
      </c>
      <c r="J61" s="2"/>
      <c r="L61" s="69">
        <f t="shared" si="0"/>
        <v>92900.49000000022</v>
      </c>
      <c r="M61" s="69">
        <f t="shared" si="1"/>
        <v>0</v>
      </c>
    </row>
    <row r="62" spans="1:13" ht="78.75" outlineLevel="6">
      <c r="A62" s="19" t="s">
        <v>704</v>
      </c>
      <c r="B62" s="20" t="s">
        <v>2</v>
      </c>
      <c r="C62" s="20" t="s">
        <v>22</v>
      </c>
      <c r="D62" s="20" t="s">
        <v>31</v>
      </c>
      <c r="E62" s="20" t="s">
        <v>10</v>
      </c>
      <c r="F62" s="13">
        <f>'Приложение_7 '!G656</f>
        <v>5934097.8</v>
      </c>
      <c r="G62" s="2"/>
      <c r="I62" s="13">
        <v>5841197.31</v>
      </c>
      <c r="J62" s="2"/>
      <c r="L62" s="69">
        <f t="shared" si="0"/>
        <v>92900.49000000022</v>
      </c>
      <c r="M62" s="69">
        <f t="shared" si="1"/>
        <v>0</v>
      </c>
    </row>
    <row r="63" spans="1:13" ht="31.5" outlineLevel="5">
      <c r="A63" s="19" t="s">
        <v>430</v>
      </c>
      <c r="B63" s="20" t="s">
        <v>2</v>
      </c>
      <c r="C63" s="20" t="s">
        <v>22</v>
      </c>
      <c r="D63" s="20" t="s">
        <v>32</v>
      </c>
      <c r="E63" s="20" t="s">
        <v>1</v>
      </c>
      <c r="F63" s="13">
        <f>F64</f>
        <v>900</v>
      </c>
      <c r="G63" s="2"/>
      <c r="I63" s="13">
        <v>900</v>
      </c>
      <c r="J63" s="2"/>
      <c r="L63" s="69">
        <f t="shared" si="0"/>
        <v>0</v>
      </c>
      <c r="M63" s="69">
        <f t="shared" si="1"/>
        <v>0</v>
      </c>
    </row>
    <row r="64" spans="1:13" ht="78.75" outlineLevel="6">
      <c r="A64" s="19" t="s">
        <v>704</v>
      </c>
      <c r="B64" s="20" t="s">
        <v>2</v>
      </c>
      <c r="C64" s="20" t="s">
        <v>22</v>
      </c>
      <c r="D64" s="20" t="s">
        <v>32</v>
      </c>
      <c r="E64" s="20" t="s">
        <v>10</v>
      </c>
      <c r="F64" s="13">
        <f>'Приложение_7 '!G658</f>
        <v>900</v>
      </c>
      <c r="G64" s="2"/>
      <c r="I64" s="13">
        <v>900</v>
      </c>
      <c r="J64" s="2"/>
      <c r="L64" s="69">
        <f t="shared" si="0"/>
        <v>0</v>
      </c>
      <c r="M64" s="69">
        <f t="shared" si="1"/>
        <v>0</v>
      </c>
    </row>
    <row r="65" spans="1:13" ht="63" outlineLevel="5">
      <c r="A65" s="19" t="s">
        <v>432</v>
      </c>
      <c r="B65" s="20" t="s">
        <v>2</v>
      </c>
      <c r="C65" s="20" t="s">
        <v>22</v>
      </c>
      <c r="D65" s="20" t="s">
        <v>33</v>
      </c>
      <c r="E65" s="20" t="s">
        <v>1</v>
      </c>
      <c r="F65" s="13">
        <f>F66</f>
        <v>139536.8</v>
      </c>
      <c r="G65" s="2"/>
      <c r="I65" s="13">
        <v>60482</v>
      </c>
      <c r="J65" s="2"/>
      <c r="L65" s="69">
        <f t="shared" si="0"/>
        <v>79054.79999999999</v>
      </c>
      <c r="M65" s="69">
        <f t="shared" si="1"/>
        <v>0</v>
      </c>
    </row>
    <row r="66" spans="1:13" ht="95.25" customHeight="1" outlineLevel="6">
      <c r="A66" s="19" t="s">
        <v>704</v>
      </c>
      <c r="B66" s="20" t="s">
        <v>2</v>
      </c>
      <c r="C66" s="20" t="s">
        <v>22</v>
      </c>
      <c r="D66" s="20" t="s">
        <v>33</v>
      </c>
      <c r="E66" s="20" t="s">
        <v>10</v>
      </c>
      <c r="F66" s="13">
        <f>'Приложение_7 '!G660</f>
        <v>139536.8</v>
      </c>
      <c r="G66" s="2"/>
      <c r="I66" s="13">
        <v>60482</v>
      </c>
      <c r="J66" s="2"/>
      <c r="L66" s="69">
        <f t="shared" si="0"/>
        <v>79054.79999999999</v>
      </c>
      <c r="M66" s="69">
        <f t="shared" si="1"/>
        <v>0</v>
      </c>
    </row>
    <row r="67" spans="1:13" ht="126" outlineLevel="4">
      <c r="A67" s="19" t="s">
        <v>494</v>
      </c>
      <c r="B67" s="20" t="s">
        <v>2</v>
      </c>
      <c r="C67" s="20" t="s">
        <v>22</v>
      </c>
      <c r="D67" s="20" t="s">
        <v>34</v>
      </c>
      <c r="E67" s="20" t="s">
        <v>1</v>
      </c>
      <c r="F67" s="13">
        <f>F68+F70+F72</f>
        <v>7019942.229999999</v>
      </c>
      <c r="G67" s="2"/>
      <c r="I67" s="13">
        <v>7075865.27</v>
      </c>
      <c r="J67" s="2"/>
      <c r="L67" s="69">
        <f t="shared" si="0"/>
        <v>-55923.04000000097</v>
      </c>
      <c r="M67" s="69">
        <f t="shared" si="1"/>
        <v>0</v>
      </c>
    </row>
    <row r="68" spans="1:13" ht="31.5" outlineLevel="5">
      <c r="A68" s="19" t="s">
        <v>434</v>
      </c>
      <c r="B68" s="20" t="s">
        <v>2</v>
      </c>
      <c r="C68" s="20" t="s">
        <v>22</v>
      </c>
      <c r="D68" s="20" t="s">
        <v>35</v>
      </c>
      <c r="E68" s="20" t="s">
        <v>1</v>
      </c>
      <c r="F68" s="13">
        <f>F69</f>
        <v>6884130.259999999</v>
      </c>
      <c r="G68" s="2"/>
      <c r="I68" s="13">
        <v>7012233.27</v>
      </c>
      <c r="J68" s="2"/>
      <c r="L68" s="69">
        <f t="shared" si="0"/>
        <v>-128103.01000000071</v>
      </c>
      <c r="M68" s="69">
        <f t="shared" si="1"/>
        <v>0</v>
      </c>
    </row>
    <row r="69" spans="1:13" ht="78.75" outlineLevel="6">
      <c r="A69" s="19" t="s">
        <v>704</v>
      </c>
      <c r="B69" s="20" t="s">
        <v>2</v>
      </c>
      <c r="C69" s="20" t="s">
        <v>22</v>
      </c>
      <c r="D69" s="20" t="s">
        <v>35</v>
      </c>
      <c r="E69" s="20" t="s">
        <v>10</v>
      </c>
      <c r="F69" s="13">
        <f>'Приложение_7 '!G663</f>
        <v>6884130.259999999</v>
      </c>
      <c r="G69" s="2"/>
      <c r="I69" s="13">
        <v>7012233.27</v>
      </c>
      <c r="J69" s="2"/>
      <c r="L69" s="69">
        <f t="shared" si="0"/>
        <v>-128103.01000000071</v>
      </c>
      <c r="M69" s="69">
        <f t="shared" si="1"/>
        <v>0</v>
      </c>
    </row>
    <row r="70" spans="1:13" ht="31.5" outlineLevel="5">
      <c r="A70" s="19" t="s">
        <v>430</v>
      </c>
      <c r="B70" s="20" t="s">
        <v>2</v>
      </c>
      <c r="C70" s="20" t="s">
        <v>22</v>
      </c>
      <c r="D70" s="20" t="s">
        <v>36</v>
      </c>
      <c r="E70" s="20" t="s">
        <v>1</v>
      </c>
      <c r="F70" s="13">
        <f>F71</f>
        <v>975</v>
      </c>
      <c r="G70" s="2"/>
      <c r="I70" s="13">
        <v>2250</v>
      </c>
      <c r="J70" s="2"/>
      <c r="L70" s="69">
        <f t="shared" si="0"/>
        <v>-1275</v>
      </c>
      <c r="M70" s="69">
        <f t="shared" si="1"/>
        <v>0</v>
      </c>
    </row>
    <row r="71" spans="1:13" ht="78.75" outlineLevel="6">
      <c r="A71" s="19" t="s">
        <v>704</v>
      </c>
      <c r="B71" s="20" t="s">
        <v>2</v>
      </c>
      <c r="C71" s="20" t="s">
        <v>22</v>
      </c>
      <c r="D71" s="20" t="s">
        <v>36</v>
      </c>
      <c r="E71" s="20" t="s">
        <v>10</v>
      </c>
      <c r="F71" s="13">
        <f>'Приложение_7 '!G665</f>
        <v>975</v>
      </c>
      <c r="G71" s="2"/>
      <c r="I71" s="13">
        <v>2250</v>
      </c>
      <c r="J71" s="2"/>
      <c r="L71" s="69">
        <f t="shared" si="0"/>
        <v>-1275</v>
      </c>
      <c r="M71" s="69">
        <f t="shared" si="1"/>
        <v>0</v>
      </c>
    </row>
    <row r="72" spans="1:13" ht="63" outlineLevel="5">
      <c r="A72" s="19" t="s">
        <v>432</v>
      </c>
      <c r="B72" s="20" t="s">
        <v>2</v>
      </c>
      <c r="C72" s="20" t="s">
        <v>22</v>
      </c>
      <c r="D72" s="20" t="s">
        <v>37</v>
      </c>
      <c r="E72" s="20" t="s">
        <v>1</v>
      </c>
      <c r="F72" s="13">
        <f>F73</f>
        <v>134836.97</v>
      </c>
      <c r="G72" s="2"/>
      <c r="I72" s="13">
        <v>61382</v>
      </c>
      <c r="J72" s="2"/>
      <c r="L72" s="69">
        <f t="shared" si="0"/>
        <v>73454.97</v>
      </c>
      <c r="M72" s="69">
        <f t="shared" si="1"/>
        <v>0</v>
      </c>
    </row>
    <row r="73" spans="1:13" ht="78.75" outlineLevel="6">
      <c r="A73" s="19" t="s">
        <v>704</v>
      </c>
      <c r="B73" s="20" t="s">
        <v>2</v>
      </c>
      <c r="C73" s="20" t="s">
        <v>22</v>
      </c>
      <c r="D73" s="20" t="s">
        <v>37</v>
      </c>
      <c r="E73" s="20" t="s">
        <v>10</v>
      </c>
      <c r="F73" s="13">
        <f>'Приложение_7 '!G667</f>
        <v>134836.97</v>
      </c>
      <c r="G73" s="2"/>
      <c r="I73" s="13">
        <v>61382</v>
      </c>
      <c r="J73" s="2"/>
      <c r="L73" s="69">
        <f t="shared" si="0"/>
        <v>73454.97</v>
      </c>
      <c r="M73" s="69">
        <f t="shared" si="1"/>
        <v>0</v>
      </c>
    </row>
    <row r="74" spans="1:13" ht="63" outlineLevel="2">
      <c r="A74" s="42" t="s">
        <v>486</v>
      </c>
      <c r="B74" s="43" t="s">
        <v>2</v>
      </c>
      <c r="C74" s="43" t="s">
        <v>22</v>
      </c>
      <c r="D74" s="43" t="s">
        <v>38</v>
      </c>
      <c r="E74" s="43" t="s">
        <v>1</v>
      </c>
      <c r="F74" s="12">
        <f>F75</f>
        <v>10680162</v>
      </c>
      <c r="G74" s="1"/>
      <c r="I74" s="12">
        <v>10743162</v>
      </c>
      <c r="J74" s="1"/>
      <c r="L74" s="69">
        <f t="shared" si="0"/>
        <v>-63000</v>
      </c>
      <c r="M74" s="69">
        <f t="shared" si="1"/>
        <v>0</v>
      </c>
    </row>
    <row r="75" spans="1:13" ht="31.5" outlineLevel="3">
      <c r="A75" s="42" t="s">
        <v>611</v>
      </c>
      <c r="B75" s="43" t="s">
        <v>2</v>
      </c>
      <c r="C75" s="43" t="s">
        <v>22</v>
      </c>
      <c r="D75" s="43" t="s">
        <v>39</v>
      </c>
      <c r="E75" s="43" t="s">
        <v>1</v>
      </c>
      <c r="F75" s="12">
        <f>F76</f>
        <v>10680162</v>
      </c>
      <c r="G75" s="1"/>
      <c r="I75" s="12">
        <v>10743162</v>
      </c>
      <c r="J75" s="1"/>
      <c r="L75" s="69">
        <f t="shared" si="0"/>
        <v>-63000</v>
      </c>
      <c r="M75" s="69">
        <f t="shared" si="1"/>
        <v>0</v>
      </c>
    </row>
    <row r="76" spans="1:13" ht="63" outlineLevel="4">
      <c r="A76" s="19" t="s">
        <v>495</v>
      </c>
      <c r="B76" s="20" t="s">
        <v>2</v>
      </c>
      <c r="C76" s="20" t="s">
        <v>22</v>
      </c>
      <c r="D76" s="20" t="s">
        <v>40</v>
      </c>
      <c r="E76" s="20" t="s">
        <v>1</v>
      </c>
      <c r="F76" s="13">
        <f>F77+F82+F79</f>
        <v>10680162</v>
      </c>
      <c r="G76" s="2"/>
      <c r="I76" s="13">
        <v>10743162</v>
      </c>
      <c r="J76" s="2"/>
      <c r="L76" s="69">
        <f t="shared" si="0"/>
        <v>-63000</v>
      </c>
      <c r="M76" s="69">
        <f t="shared" si="1"/>
        <v>0</v>
      </c>
    </row>
    <row r="77" spans="1:13" ht="31.5" outlineLevel="5">
      <c r="A77" s="19" t="s">
        <v>434</v>
      </c>
      <c r="B77" s="20" t="s">
        <v>2</v>
      </c>
      <c r="C77" s="20" t="s">
        <v>22</v>
      </c>
      <c r="D77" s="20" t="s">
        <v>41</v>
      </c>
      <c r="E77" s="20" t="s">
        <v>1</v>
      </c>
      <c r="F77" s="13">
        <f>F78</f>
        <v>10372616</v>
      </c>
      <c r="G77" s="2"/>
      <c r="I77" s="13">
        <v>10373316</v>
      </c>
      <c r="J77" s="2"/>
      <c r="L77" s="69">
        <f t="shared" si="0"/>
        <v>-700</v>
      </c>
      <c r="M77" s="69">
        <f t="shared" si="1"/>
        <v>0</v>
      </c>
    </row>
    <row r="78" spans="1:13" ht="78.75" outlineLevel="6">
      <c r="A78" s="19" t="s">
        <v>704</v>
      </c>
      <c r="B78" s="20" t="s">
        <v>2</v>
      </c>
      <c r="C78" s="20" t="s">
        <v>22</v>
      </c>
      <c r="D78" s="20" t="s">
        <v>41</v>
      </c>
      <c r="E78" s="20" t="s">
        <v>10</v>
      </c>
      <c r="F78" s="13">
        <f>'Приложение_7 '!G587</f>
        <v>10372616</v>
      </c>
      <c r="G78" s="2"/>
      <c r="I78" s="13">
        <v>10373316</v>
      </c>
      <c r="J78" s="2"/>
      <c r="L78" s="69">
        <f t="shared" si="0"/>
        <v>-700</v>
      </c>
      <c r="M78" s="69">
        <f t="shared" si="1"/>
        <v>0</v>
      </c>
    </row>
    <row r="79" spans="1:13" ht="31.5" outlineLevel="6">
      <c r="A79" s="36" t="s">
        <v>430</v>
      </c>
      <c r="B79" s="37" t="s">
        <v>2</v>
      </c>
      <c r="C79" s="37" t="s">
        <v>22</v>
      </c>
      <c r="D79" s="37" t="s">
        <v>891</v>
      </c>
      <c r="E79" s="37" t="s">
        <v>1</v>
      </c>
      <c r="F79" s="13">
        <f>F80+F81</f>
        <v>2700</v>
      </c>
      <c r="G79" s="2"/>
      <c r="I79" s="13"/>
      <c r="J79" s="2"/>
      <c r="L79" s="69"/>
      <c r="M79" s="69"/>
    </row>
    <row r="80" spans="1:13" ht="78.75" outlineLevel="6">
      <c r="A80" s="36" t="s">
        <v>704</v>
      </c>
      <c r="B80" s="37" t="s">
        <v>2</v>
      </c>
      <c r="C80" s="37" t="s">
        <v>22</v>
      </c>
      <c r="D80" s="37" t="s">
        <v>891</v>
      </c>
      <c r="E80" s="37" t="s">
        <v>10</v>
      </c>
      <c r="F80" s="13">
        <f>'Приложение_7 '!G589</f>
        <v>700</v>
      </c>
      <c r="G80" s="2"/>
      <c r="I80" s="13"/>
      <c r="J80" s="2"/>
      <c r="L80" s="69"/>
      <c r="M80" s="69"/>
    </row>
    <row r="81" spans="1:13" ht="31.5" outlineLevel="6">
      <c r="A81" s="36" t="s">
        <v>689</v>
      </c>
      <c r="B81" s="37" t="s">
        <v>2</v>
      </c>
      <c r="C81" s="37" t="s">
        <v>22</v>
      </c>
      <c r="D81" s="37" t="s">
        <v>891</v>
      </c>
      <c r="E81" s="37" t="s">
        <v>17</v>
      </c>
      <c r="F81" s="13">
        <f>'Приложение_7 '!G590</f>
        <v>2000</v>
      </c>
      <c r="G81" s="2"/>
      <c r="I81" s="13"/>
      <c r="J81" s="2"/>
      <c r="L81" s="69"/>
      <c r="M81" s="69"/>
    </row>
    <row r="82" spans="1:13" ht="63" outlineLevel="5">
      <c r="A82" s="19" t="s">
        <v>432</v>
      </c>
      <c r="B82" s="20" t="s">
        <v>2</v>
      </c>
      <c r="C82" s="20" t="s">
        <v>22</v>
      </c>
      <c r="D82" s="20" t="s">
        <v>42</v>
      </c>
      <c r="E82" s="20" t="s">
        <v>1</v>
      </c>
      <c r="F82" s="13">
        <f>F83</f>
        <v>304846</v>
      </c>
      <c r="G82" s="2"/>
      <c r="I82" s="13">
        <v>369846</v>
      </c>
      <c r="J82" s="2"/>
      <c r="L82" s="69">
        <f t="shared" si="0"/>
        <v>-65000</v>
      </c>
      <c r="M82" s="69">
        <f t="shared" si="1"/>
        <v>0</v>
      </c>
    </row>
    <row r="83" spans="1:13" ht="78.75" outlineLevel="6">
      <c r="A83" s="19" t="s">
        <v>704</v>
      </c>
      <c r="B83" s="20" t="s">
        <v>2</v>
      </c>
      <c r="C83" s="20" t="s">
        <v>22</v>
      </c>
      <c r="D83" s="20" t="s">
        <v>42</v>
      </c>
      <c r="E83" s="20" t="s">
        <v>10</v>
      </c>
      <c r="F83" s="13">
        <f>'Приложение_7 '!G592</f>
        <v>304846</v>
      </c>
      <c r="G83" s="2"/>
      <c r="I83" s="13">
        <v>369846</v>
      </c>
      <c r="J83" s="2"/>
      <c r="L83" s="69">
        <f t="shared" si="0"/>
        <v>-65000</v>
      </c>
      <c r="M83" s="69">
        <f t="shared" si="1"/>
        <v>0</v>
      </c>
    </row>
    <row r="84" spans="1:13" ht="47.25" outlineLevel="2">
      <c r="A84" s="42" t="s">
        <v>652</v>
      </c>
      <c r="B84" s="43" t="s">
        <v>2</v>
      </c>
      <c r="C84" s="43" t="s">
        <v>22</v>
      </c>
      <c r="D84" s="43" t="s">
        <v>6</v>
      </c>
      <c r="E84" s="43" t="s">
        <v>1</v>
      </c>
      <c r="F84" s="12">
        <f>F85+F98+F107+F113</f>
        <v>51823492.440000005</v>
      </c>
      <c r="G84" s="1"/>
      <c r="I84" s="12">
        <v>51457361.36</v>
      </c>
      <c r="J84" s="1"/>
      <c r="L84" s="69">
        <f t="shared" si="0"/>
        <v>366131.08000000566</v>
      </c>
      <c r="M84" s="69">
        <f t="shared" si="1"/>
        <v>0</v>
      </c>
    </row>
    <row r="85" spans="1:13" ht="31.5" outlineLevel="3">
      <c r="A85" s="42" t="s">
        <v>612</v>
      </c>
      <c r="B85" s="43" t="s">
        <v>2</v>
      </c>
      <c r="C85" s="43" t="s">
        <v>22</v>
      </c>
      <c r="D85" s="43" t="s">
        <v>43</v>
      </c>
      <c r="E85" s="43" t="s">
        <v>1</v>
      </c>
      <c r="F85" s="12">
        <f>F86</f>
        <v>30401335.25</v>
      </c>
      <c r="G85" s="1"/>
      <c r="I85" s="12">
        <v>30028735.17</v>
      </c>
      <c r="J85" s="1"/>
      <c r="L85" s="69">
        <f t="shared" si="0"/>
        <v>372600.0799999982</v>
      </c>
      <c r="M85" s="69">
        <f t="shared" si="1"/>
        <v>0</v>
      </c>
    </row>
    <row r="86" spans="1:13" ht="63" outlineLevel="4">
      <c r="A86" s="19" t="s">
        <v>496</v>
      </c>
      <c r="B86" s="20" t="s">
        <v>2</v>
      </c>
      <c r="C86" s="20" t="s">
        <v>22</v>
      </c>
      <c r="D86" s="20" t="s">
        <v>44</v>
      </c>
      <c r="E86" s="20" t="s">
        <v>1</v>
      </c>
      <c r="F86" s="13">
        <f>F87+F89+F92+F94+F96</f>
        <v>30401335.25</v>
      </c>
      <c r="G86" s="2"/>
      <c r="I86" s="13">
        <v>30028735.17</v>
      </c>
      <c r="J86" s="2"/>
      <c r="L86" s="69">
        <f t="shared" si="0"/>
        <v>372600.0799999982</v>
      </c>
      <c r="M86" s="69">
        <f t="shared" si="1"/>
        <v>0</v>
      </c>
    </row>
    <row r="87" spans="1:13" ht="31.5" outlineLevel="5">
      <c r="A87" s="19" t="s">
        <v>435</v>
      </c>
      <c r="B87" s="20" t="s">
        <v>2</v>
      </c>
      <c r="C87" s="20" t="s">
        <v>22</v>
      </c>
      <c r="D87" s="20" t="s">
        <v>45</v>
      </c>
      <c r="E87" s="20" t="s">
        <v>1</v>
      </c>
      <c r="F87" s="13">
        <f>F88</f>
        <v>2021186.3499999999</v>
      </c>
      <c r="G87" s="2"/>
      <c r="I87" s="13">
        <v>1925844.89</v>
      </c>
      <c r="J87" s="2"/>
      <c r="L87" s="69">
        <f t="shared" si="0"/>
        <v>95341.45999999996</v>
      </c>
      <c r="M87" s="69">
        <f t="shared" si="1"/>
        <v>0</v>
      </c>
    </row>
    <row r="88" spans="1:13" ht="78.75" outlineLevel="6">
      <c r="A88" s="19" t="s">
        <v>704</v>
      </c>
      <c r="B88" s="20" t="s">
        <v>2</v>
      </c>
      <c r="C88" s="20" t="s">
        <v>22</v>
      </c>
      <c r="D88" s="20" t="s">
        <v>45</v>
      </c>
      <c r="E88" s="20" t="s">
        <v>10</v>
      </c>
      <c r="F88" s="13">
        <f>'Приложение_7 '!G72</f>
        <v>2021186.3499999999</v>
      </c>
      <c r="G88" s="2"/>
      <c r="I88" s="13">
        <v>1925844.89</v>
      </c>
      <c r="J88" s="2"/>
      <c r="L88" s="69">
        <f t="shared" si="0"/>
        <v>95341.45999999996</v>
      </c>
      <c r="M88" s="69">
        <f t="shared" si="1"/>
        <v>0</v>
      </c>
    </row>
    <row r="89" spans="1:13" ht="31.5" outlineLevel="5">
      <c r="A89" s="19" t="s">
        <v>434</v>
      </c>
      <c r="B89" s="20" t="s">
        <v>2</v>
      </c>
      <c r="C89" s="20" t="s">
        <v>22</v>
      </c>
      <c r="D89" s="20" t="s">
        <v>46</v>
      </c>
      <c r="E89" s="20" t="s">
        <v>1</v>
      </c>
      <c r="F89" s="13">
        <f>F90+F91</f>
        <v>27412766.389999997</v>
      </c>
      <c r="G89" s="2"/>
      <c r="I89" s="13">
        <v>27210507.77</v>
      </c>
      <c r="J89" s="2"/>
      <c r="L89" s="69">
        <f aca="true" t="shared" si="2" ref="L89:L157">F89-I89</f>
        <v>202258.61999999732</v>
      </c>
      <c r="M89" s="69">
        <f aca="true" t="shared" si="3" ref="M89:M157">G89-J89</f>
        <v>0</v>
      </c>
    </row>
    <row r="90" spans="1:13" ht="78.75" outlineLevel="6">
      <c r="A90" s="19" t="s">
        <v>704</v>
      </c>
      <c r="B90" s="20" t="s">
        <v>2</v>
      </c>
      <c r="C90" s="20" t="s">
        <v>22</v>
      </c>
      <c r="D90" s="20" t="s">
        <v>46</v>
      </c>
      <c r="E90" s="20" t="s">
        <v>10</v>
      </c>
      <c r="F90" s="13">
        <f>'Приложение_7 '!G74</f>
        <v>27292647.929999996</v>
      </c>
      <c r="G90" s="2"/>
      <c r="I90" s="13">
        <v>27090389.31</v>
      </c>
      <c r="J90" s="2"/>
      <c r="L90" s="69">
        <f t="shared" si="2"/>
        <v>202258.61999999732</v>
      </c>
      <c r="M90" s="69">
        <f t="shared" si="3"/>
        <v>0</v>
      </c>
    </row>
    <row r="91" spans="1:13" ht="31.5" outlineLevel="6">
      <c r="A91" s="19" t="s">
        <v>690</v>
      </c>
      <c r="B91" s="20" t="s">
        <v>2</v>
      </c>
      <c r="C91" s="20" t="s">
        <v>22</v>
      </c>
      <c r="D91" s="20" t="s">
        <v>46</v>
      </c>
      <c r="E91" s="20" t="s">
        <v>47</v>
      </c>
      <c r="F91" s="13">
        <f>'Приложение_7 '!G75</f>
        <v>120118.46</v>
      </c>
      <c r="G91" s="2"/>
      <c r="I91" s="13">
        <v>120118.46</v>
      </c>
      <c r="J91" s="2"/>
      <c r="L91" s="69">
        <f t="shared" si="2"/>
        <v>0</v>
      </c>
      <c r="M91" s="69">
        <f t="shared" si="3"/>
        <v>0</v>
      </c>
    </row>
    <row r="92" spans="1:13" ht="31.5" outlineLevel="5">
      <c r="A92" s="19" t="s">
        <v>430</v>
      </c>
      <c r="B92" s="20" t="s">
        <v>2</v>
      </c>
      <c r="C92" s="20" t="s">
        <v>22</v>
      </c>
      <c r="D92" s="20" t="s">
        <v>48</v>
      </c>
      <c r="E92" s="20" t="s">
        <v>1</v>
      </c>
      <c r="F92" s="13">
        <f>F93</f>
        <v>3360</v>
      </c>
      <c r="G92" s="2"/>
      <c r="I92" s="13">
        <v>3360</v>
      </c>
      <c r="J92" s="2"/>
      <c r="L92" s="69">
        <f t="shared" si="2"/>
        <v>0</v>
      </c>
      <c r="M92" s="69">
        <f t="shared" si="3"/>
        <v>0</v>
      </c>
    </row>
    <row r="93" spans="1:13" ht="78.75" outlineLevel="6">
      <c r="A93" s="19" t="s">
        <v>704</v>
      </c>
      <c r="B93" s="20" t="s">
        <v>2</v>
      </c>
      <c r="C93" s="20" t="s">
        <v>22</v>
      </c>
      <c r="D93" s="20" t="s">
        <v>48</v>
      </c>
      <c r="E93" s="20" t="s">
        <v>10</v>
      </c>
      <c r="F93" s="13">
        <f>'Приложение_7 '!G77</f>
        <v>3360</v>
      </c>
      <c r="G93" s="2"/>
      <c r="I93" s="13">
        <v>3360</v>
      </c>
      <c r="J93" s="2"/>
      <c r="L93" s="69">
        <f t="shared" si="2"/>
        <v>0</v>
      </c>
      <c r="M93" s="69">
        <f t="shared" si="3"/>
        <v>0</v>
      </c>
    </row>
    <row r="94" spans="1:13" ht="47.25" outlineLevel="5">
      <c r="A94" s="19" t="s">
        <v>436</v>
      </c>
      <c r="B94" s="20" t="s">
        <v>2</v>
      </c>
      <c r="C94" s="20" t="s">
        <v>22</v>
      </c>
      <c r="D94" s="20" t="s">
        <v>49</v>
      </c>
      <c r="E94" s="20" t="s">
        <v>1</v>
      </c>
      <c r="F94" s="13">
        <f>F95</f>
        <v>466122.51</v>
      </c>
      <c r="G94" s="2"/>
      <c r="I94" s="13">
        <v>466122.51</v>
      </c>
      <c r="J94" s="2"/>
      <c r="L94" s="69">
        <f t="shared" si="2"/>
        <v>0</v>
      </c>
      <c r="M94" s="69">
        <f t="shared" si="3"/>
        <v>0</v>
      </c>
    </row>
    <row r="95" spans="1:13" ht="78.75" outlineLevel="6">
      <c r="A95" s="19" t="s">
        <v>704</v>
      </c>
      <c r="B95" s="20" t="s">
        <v>2</v>
      </c>
      <c r="C95" s="20" t="s">
        <v>22</v>
      </c>
      <c r="D95" s="20" t="s">
        <v>49</v>
      </c>
      <c r="E95" s="20" t="s">
        <v>10</v>
      </c>
      <c r="F95" s="13">
        <f>'Приложение_7 '!G79</f>
        <v>466122.51</v>
      </c>
      <c r="G95" s="2"/>
      <c r="I95" s="13">
        <v>466122.51</v>
      </c>
      <c r="J95" s="2"/>
      <c r="L95" s="69">
        <f t="shared" si="2"/>
        <v>0</v>
      </c>
      <c r="M95" s="69">
        <f t="shared" si="3"/>
        <v>0</v>
      </c>
    </row>
    <row r="96" spans="1:13" ht="63" outlineLevel="5">
      <c r="A96" s="19" t="s">
        <v>432</v>
      </c>
      <c r="B96" s="20" t="s">
        <v>2</v>
      </c>
      <c r="C96" s="20" t="s">
        <v>22</v>
      </c>
      <c r="D96" s="20" t="s">
        <v>50</v>
      </c>
      <c r="E96" s="20" t="s">
        <v>1</v>
      </c>
      <c r="F96" s="13">
        <f>F97</f>
        <v>497900</v>
      </c>
      <c r="G96" s="2"/>
      <c r="I96" s="13">
        <v>422900</v>
      </c>
      <c r="J96" s="2"/>
      <c r="L96" s="69">
        <f t="shared" si="2"/>
        <v>75000</v>
      </c>
      <c r="M96" s="69">
        <f t="shared" si="3"/>
        <v>0</v>
      </c>
    </row>
    <row r="97" spans="1:13" ht="78.75" outlineLevel="6">
      <c r="A97" s="19" t="s">
        <v>704</v>
      </c>
      <c r="B97" s="20" t="s">
        <v>2</v>
      </c>
      <c r="C97" s="20" t="s">
        <v>22</v>
      </c>
      <c r="D97" s="20" t="s">
        <v>50</v>
      </c>
      <c r="E97" s="20" t="s">
        <v>10</v>
      </c>
      <c r="F97" s="13">
        <f>'Приложение_7 '!G81</f>
        <v>497900</v>
      </c>
      <c r="G97" s="2"/>
      <c r="I97" s="13">
        <v>422900</v>
      </c>
      <c r="J97" s="2"/>
      <c r="L97" s="69">
        <f t="shared" si="2"/>
        <v>75000</v>
      </c>
      <c r="M97" s="69">
        <f t="shared" si="3"/>
        <v>0</v>
      </c>
    </row>
    <row r="98" spans="1:13" s="67" customFormat="1" ht="47.25" outlineLevel="3">
      <c r="A98" s="70" t="s">
        <v>613</v>
      </c>
      <c r="B98" s="71" t="s">
        <v>2</v>
      </c>
      <c r="C98" s="71" t="s">
        <v>22</v>
      </c>
      <c r="D98" s="71" t="s">
        <v>51</v>
      </c>
      <c r="E98" s="71" t="s">
        <v>1</v>
      </c>
      <c r="F98" s="72">
        <f>F99</f>
        <v>12567017.28</v>
      </c>
      <c r="G98" s="73"/>
      <c r="I98" s="72">
        <v>12044134.84</v>
      </c>
      <c r="J98" s="73"/>
      <c r="L98" s="69">
        <f t="shared" si="2"/>
        <v>522882.4399999995</v>
      </c>
      <c r="M98" s="69">
        <f t="shared" si="3"/>
        <v>0</v>
      </c>
    </row>
    <row r="99" spans="1:13" ht="31.5" outlineLevel="4">
      <c r="A99" s="19" t="s">
        <v>497</v>
      </c>
      <c r="B99" s="20" t="s">
        <v>2</v>
      </c>
      <c r="C99" s="20" t="s">
        <v>22</v>
      </c>
      <c r="D99" s="20" t="s">
        <v>52</v>
      </c>
      <c r="E99" s="20" t="s">
        <v>1</v>
      </c>
      <c r="F99" s="13">
        <f>F100+F102+F105</f>
        <v>12567017.28</v>
      </c>
      <c r="G99" s="2"/>
      <c r="I99" s="13">
        <v>12044134.84</v>
      </c>
      <c r="J99" s="2"/>
      <c r="L99" s="69">
        <f t="shared" si="2"/>
        <v>522882.4399999995</v>
      </c>
      <c r="M99" s="69">
        <f t="shared" si="3"/>
        <v>0</v>
      </c>
    </row>
    <row r="100" spans="1:13" ht="31.5" outlineLevel="5">
      <c r="A100" s="19" t="s">
        <v>434</v>
      </c>
      <c r="B100" s="20" t="s">
        <v>2</v>
      </c>
      <c r="C100" s="20" t="s">
        <v>22</v>
      </c>
      <c r="D100" s="20" t="s">
        <v>53</v>
      </c>
      <c r="E100" s="20" t="s">
        <v>1</v>
      </c>
      <c r="F100" s="13">
        <f>F101</f>
        <v>12315527.28</v>
      </c>
      <c r="G100" s="2"/>
      <c r="I100" s="13">
        <v>11794269.84</v>
      </c>
      <c r="J100" s="2"/>
      <c r="L100" s="69">
        <f t="shared" si="2"/>
        <v>521257.4399999995</v>
      </c>
      <c r="M100" s="69">
        <f t="shared" si="3"/>
        <v>0</v>
      </c>
    </row>
    <row r="101" spans="1:13" ht="78.75" outlineLevel="6">
      <c r="A101" s="19" t="s">
        <v>704</v>
      </c>
      <c r="B101" s="20" t="s">
        <v>2</v>
      </c>
      <c r="C101" s="20" t="s">
        <v>22</v>
      </c>
      <c r="D101" s="20" t="s">
        <v>53</v>
      </c>
      <c r="E101" s="20" t="s">
        <v>10</v>
      </c>
      <c r="F101" s="13">
        <f>'Приложение_7 '!G305</f>
        <v>12315527.28</v>
      </c>
      <c r="G101" s="2"/>
      <c r="I101" s="13">
        <v>11794269.84</v>
      </c>
      <c r="J101" s="2"/>
      <c r="L101" s="69">
        <f t="shared" si="2"/>
        <v>521257.4399999995</v>
      </c>
      <c r="M101" s="69">
        <f t="shared" si="3"/>
        <v>0</v>
      </c>
    </row>
    <row r="102" spans="1:13" ht="31.5" outlineLevel="5">
      <c r="A102" s="19" t="s">
        <v>430</v>
      </c>
      <c r="B102" s="20" t="s">
        <v>2</v>
      </c>
      <c r="C102" s="20" t="s">
        <v>22</v>
      </c>
      <c r="D102" s="20" t="s">
        <v>54</v>
      </c>
      <c r="E102" s="20" t="s">
        <v>1</v>
      </c>
      <c r="F102" s="13">
        <f>F103+F104</f>
        <v>2525</v>
      </c>
      <c r="G102" s="2"/>
      <c r="I102" s="13">
        <v>900</v>
      </c>
      <c r="J102" s="2"/>
      <c r="L102" s="69">
        <f t="shared" si="2"/>
        <v>1625</v>
      </c>
      <c r="M102" s="69">
        <f t="shared" si="3"/>
        <v>0</v>
      </c>
    </row>
    <row r="103" spans="1:13" ht="78.75" outlineLevel="6">
      <c r="A103" s="19" t="s">
        <v>704</v>
      </c>
      <c r="B103" s="20" t="s">
        <v>2</v>
      </c>
      <c r="C103" s="20" t="s">
        <v>22</v>
      </c>
      <c r="D103" s="20" t="s">
        <v>54</v>
      </c>
      <c r="E103" s="20" t="s">
        <v>10</v>
      </c>
      <c r="F103" s="13">
        <f>'Приложение_7 '!G307</f>
        <v>525</v>
      </c>
      <c r="G103" s="2"/>
      <c r="I103" s="13">
        <v>900</v>
      </c>
      <c r="J103" s="2"/>
      <c r="L103" s="69">
        <f t="shared" si="2"/>
        <v>-375</v>
      </c>
      <c r="M103" s="69">
        <f t="shared" si="3"/>
        <v>0</v>
      </c>
    </row>
    <row r="104" spans="1:13" ht="31.5" outlineLevel="6">
      <c r="A104" s="36" t="s">
        <v>689</v>
      </c>
      <c r="B104" s="37" t="s">
        <v>2</v>
      </c>
      <c r="C104" s="37" t="s">
        <v>22</v>
      </c>
      <c r="D104" s="37" t="s">
        <v>54</v>
      </c>
      <c r="E104" s="37" t="s">
        <v>17</v>
      </c>
      <c r="F104" s="13">
        <f>'Приложение_7 '!G308</f>
        <v>2000</v>
      </c>
      <c r="G104" s="2"/>
      <c r="I104" s="13"/>
      <c r="J104" s="2"/>
      <c r="L104" s="69"/>
      <c r="M104" s="69"/>
    </row>
    <row r="105" spans="1:13" ht="63" outlineLevel="5">
      <c r="A105" s="19" t="s">
        <v>432</v>
      </c>
      <c r="B105" s="20" t="s">
        <v>2</v>
      </c>
      <c r="C105" s="20" t="s">
        <v>22</v>
      </c>
      <c r="D105" s="20" t="s">
        <v>55</v>
      </c>
      <c r="E105" s="20" t="s">
        <v>1</v>
      </c>
      <c r="F105" s="13">
        <f>F106</f>
        <v>248965</v>
      </c>
      <c r="G105" s="2"/>
      <c r="I105" s="13">
        <v>248965</v>
      </c>
      <c r="J105" s="2"/>
      <c r="L105" s="69">
        <f t="shared" si="2"/>
        <v>0</v>
      </c>
      <c r="M105" s="69">
        <f t="shared" si="3"/>
        <v>0</v>
      </c>
    </row>
    <row r="106" spans="1:13" ht="78.75" outlineLevel="6">
      <c r="A106" s="19" t="s">
        <v>704</v>
      </c>
      <c r="B106" s="20" t="s">
        <v>2</v>
      </c>
      <c r="C106" s="20" t="s">
        <v>22</v>
      </c>
      <c r="D106" s="20" t="s">
        <v>55</v>
      </c>
      <c r="E106" s="20" t="s">
        <v>10</v>
      </c>
      <c r="F106" s="13">
        <f>'Приложение_7 '!G310</f>
        <v>248965</v>
      </c>
      <c r="G106" s="2"/>
      <c r="I106" s="13">
        <v>248965</v>
      </c>
      <c r="J106" s="2"/>
      <c r="L106" s="69">
        <f t="shared" si="2"/>
        <v>0</v>
      </c>
      <c r="M106" s="69">
        <f t="shared" si="3"/>
        <v>0</v>
      </c>
    </row>
    <row r="107" spans="1:13" ht="47.25" outlineLevel="3">
      <c r="A107" s="42" t="s">
        <v>614</v>
      </c>
      <c r="B107" s="43" t="s">
        <v>2</v>
      </c>
      <c r="C107" s="43" t="s">
        <v>22</v>
      </c>
      <c r="D107" s="43" t="s">
        <v>56</v>
      </c>
      <c r="E107" s="43" t="s">
        <v>1</v>
      </c>
      <c r="F107" s="12">
        <f>F108</f>
        <v>7864886.96</v>
      </c>
      <c r="G107" s="1"/>
      <c r="I107" s="12">
        <v>7864886.96</v>
      </c>
      <c r="J107" s="1"/>
      <c r="L107" s="69">
        <f t="shared" si="2"/>
        <v>0</v>
      </c>
      <c r="M107" s="69">
        <f t="shared" si="3"/>
        <v>0</v>
      </c>
    </row>
    <row r="108" spans="1:13" ht="47.25" outlineLevel="4">
      <c r="A108" s="19" t="s">
        <v>498</v>
      </c>
      <c r="B108" s="20" t="s">
        <v>2</v>
      </c>
      <c r="C108" s="20" t="s">
        <v>22</v>
      </c>
      <c r="D108" s="20" t="s">
        <v>57</v>
      </c>
      <c r="E108" s="20" t="s">
        <v>1</v>
      </c>
      <c r="F108" s="13">
        <f>F109+F111</f>
        <v>7864886.96</v>
      </c>
      <c r="G108" s="2"/>
      <c r="I108" s="13">
        <v>7864886.96</v>
      </c>
      <c r="J108" s="2"/>
      <c r="L108" s="69">
        <f t="shared" si="2"/>
        <v>0</v>
      </c>
      <c r="M108" s="69">
        <f t="shared" si="3"/>
        <v>0</v>
      </c>
    </row>
    <row r="109" spans="1:13" ht="31.5" outlineLevel="5">
      <c r="A109" s="19" t="s">
        <v>434</v>
      </c>
      <c r="B109" s="20" t="s">
        <v>2</v>
      </c>
      <c r="C109" s="20" t="s">
        <v>22</v>
      </c>
      <c r="D109" s="20" t="s">
        <v>58</v>
      </c>
      <c r="E109" s="20" t="s">
        <v>1</v>
      </c>
      <c r="F109" s="13">
        <f>F110</f>
        <v>7759523.42</v>
      </c>
      <c r="G109" s="2"/>
      <c r="I109" s="13">
        <v>7759523.42</v>
      </c>
      <c r="J109" s="2"/>
      <c r="L109" s="69">
        <f t="shared" si="2"/>
        <v>0</v>
      </c>
      <c r="M109" s="69">
        <f t="shared" si="3"/>
        <v>0</v>
      </c>
    </row>
    <row r="110" spans="1:13" ht="78.75" outlineLevel="6">
      <c r="A110" s="19" t="s">
        <v>704</v>
      </c>
      <c r="B110" s="20" t="s">
        <v>2</v>
      </c>
      <c r="C110" s="20" t="s">
        <v>22</v>
      </c>
      <c r="D110" s="20" t="s">
        <v>58</v>
      </c>
      <c r="E110" s="20" t="s">
        <v>10</v>
      </c>
      <c r="F110" s="13">
        <f>'Приложение_7 '!G913</f>
        <v>7759523.42</v>
      </c>
      <c r="G110" s="2"/>
      <c r="I110" s="13">
        <v>7759523.42</v>
      </c>
      <c r="J110" s="2"/>
      <c r="L110" s="69">
        <f t="shared" si="2"/>
        <v>0</v>
      </c>
      <c r="M110" s="69">
        <f t="shared" si="3"/>
        <v>0</v>
      </c>
    </row>
    <row r="111" spans="1:13" ht="63" outlineLevel="5">
      <c r="A111" s="19" t="s">
        <v>432</v>
      </c>
      <c r="B111" s="20" t="s">
        <v>2</v>
      </c>
      <c r="C111" s="20" t="s">
        <v>22</v>
      </c>
      <c r="D111" s="20" t="s">
        <v>59</v>
      </c>
      <c r="E111" s="20" t="s">
        <v>1</v>
      </c>
      <c r="F111" s="13">
        <f>F112</f>
        <v>105363.54</v>
      </c>
      <c r="G111" s="2"/>
      <c r="I111" s="13">
        <v>105363.54</v>
      </c>
      <c r="J111" s="2"/>
      <c r="L111" s="69">
        <f t="shared" si="2"/>
        <v>0</v>
      </c>
      <c r="M111" s="69">
        <f t="shared" si="3"/>
        <v>0</v>
      </c>
    </row>
    <row r="112" spans="1:13" ht="78.75" outlineLevel="6">
      <c r="A112" s="19" t="s">
        <v>704</v>
      </c>
      <c r="B112" s="20" t="s">
        <v>2</v>
      </c>
      <c r="C112" s="20" t="s">
        <v>22</v>
      </c>
      <c r="D112" s="20" t="s">
        <v>59</v>
      </c>
      <c r="E112" s="20" t="s">
        <v>10</v>
      </c>
      <c r="F112" s="13">
        <f>'Приложение_7 '!G915</f>
        <v>105363.54</v>
      </c>
      <c r="G112" s="2"/>
      <c r="I112" s="13">
        <v>105363.54</v>
      </c>
      <c r="J112" s="2"/>
      <c r="L112" s="69">
        <f t="shared" si="2"/>
        <v>0</v>
      </c>
      <c r="M112" s="69">
        <f t="shared" si="3"/>
        <v>0</v>
      </c>
    </row>
    <row r="113" spans="1:13" ht="37.5" customHeight="1" outlineLevel="3">
      <c r="A113" s="42" t="s">
        <v>609</v>
      </c>
      <c r="B113" s="43" t="s">
        <v>2</v>
      </c>
      <c r="C113" s="43" t="s">
        <v>22</v>
      </c>
      <c r="D113" s="43" t="s">
        <v>7</v>
      </c>
      <c r="E113" s="43" t="s">
        <v>1</v>
      </c>
      <c r="F113" s="12">
        <f>F114+F118+F121</f>
        <v>990252.95</v>
      </c>
      <c r="G113" s="1"/>
      <c r="I113" s="12">
        <v>1519604.39</v>
      </c>
      <c r="J113" s="1"/>
      <c r="L113" s="69">
        <f t="shared" si="2"/>
        <v>-529351.44</v>
      </c>
      <c r="M113" s="69">
        <f t="shared" si="3"/>
        <v>0</v>
      </c>
    </row>
    <row r="114" spans="1:13" ht="63" outlineLevel="4">
      <c r="A114" s="19" t="s">
        <v>488</v>
      </c>
      <c r="B114" s="20" t="s">
        <v>2</v>
      </c>
      <c r="C114" s="20" t="s">
        <v>22</v>
      </c>
      <c r="D114" s="20" t="s">
        <v>15</v>
      </c>
      <c r="E114" s="20" t="s">
        <v>1</v>
      </c>
      <c r="F114" s="13">
        <f>F115</f>
        <v>299365.03</v>
      </c>
      <c r="G114" s="2"/>
      <c r="I114" s="13">
        <v>616006.43</v>
      </c>
      <c r="J114" s="2"/>
      <c r="L114" s="69">
        <f t="shared" si="2"/>
        <v>-316641.4</v>
      </c>
      <c r="M114" s="69">
        <f t="shared" si="3"/>
        <v>0</v>
      </c>
    </row>
    <row r="115" spans="1:13" ht="41.25" customHeight="1" outlineLevel="5">
      <c r="A115" s="19" t="s">
        <v>430</v>
      </c>
      <c r="B115" s="20" t="s">
        <v>2</v>
      </c>
      <c r="C115" s="20" t="s">
        <v>22</v>
      </c>
      <c r="D115" s="20" t="s">
        <v>16</v>
      </c>
      <c r="E115" s="20" t="s">
        <v>1</v>
      </c>
      <c r="F115" s="13">
        <f>F116+F117</f>
        <v>299365.03</v>
      </c>
      <c r="G115" s="2"/>
      <c r="I115" s="13">
        <v>616006.43</v>
      </c>
      <c r="J115" s="2"/>
      <c r="L115" s="69">
        <f t="shared" si="2"/>
        <v>-316641.4</v>
      </c>
      <c r="M115" s="69">
        <f t="shared" si="3"/>
        <v>0</v>
      </c>
    </row>
    <row r="116" spans="1:13" ht="78.75" outlineLevel="6">
      <c r="A116" s="19" t="s">
        <v>704</v>
      </c>
      <c r="B116" s="20" t="s">
        <v>2</v>
      </c>
      <c r="C116" s="20" t="s">
        <v>22</v>
      </c>
      <c r="D116" s="20" t="s">
        <v>16</v>
      </c>
      <c r="E116" s="20" t="s">
        <v>10</v>
      </c>
      <c r="F116" s="13">
        <f>'Приложение_7 '!G85+'Приложение_7 '!G314+'Приложение_7 '!G597+'Приложение_7 '!G672+'Приложение_7 '!G919</f>
        <v>120056.95</v>
      </c>
      <c r="G116" s="2"/>
      <c r="I116" s="13">
        <v>164356.95</v>
      </c>
      <c r="J116" s="2"/>
      <c r="L116" s="69">
        <f t="shared" si="2"/>
        <v>-44300.000000000015</v>
      </c>
      <c r="M116" s="69">
        <f t="shared" si="3"/>
        <v>0</v>
      </c>
    </row>
    <row r="117" spans="1:13" ht="31.5" outlineLevel="6">
      <c r="A117" s="19" t="s">
        <v>689</v>
      </c>
      <c r="B117" s="20" t="s">
        <v>2</v>
      </c>
      <c r="C117" s="20" t="s">
        <v>22</v>
      </c>
      <c r="D117" s="20" t="s">
        <v>16</v>
      </c>
      <c r="E117" s="20" t="s">
        <v>17</v>
      </c>
      <c r="F117" s="13">
        <f>'Приложение_7 '!G86+'Приложение_7 '!G315+'Приложение_7 '!G598+'Приложение_7 '!G673+'Приложение_7 '!G920</f>
        <v>179308.08000000002</v>
      </c>
      <c r="G117" s="2"/>
      <c r="I117" s="13">
        <v>451649.48</v>
      </c>
      <c r="J117" s="2"/>
      <c r="L117" s="69">
        <f t="shared" si="2"/>
        <v>-272341.39999999997</v>
      </c>
      <c r="M117" s="69">
        <f t="shared" si="3"/>
        <v>0</v>
      </c>
    </row>
    <row r="118" spans="1:13" ht="15.75" outlineLevel="4">
      <c r="A118" s="19" t="s">
        <v>489</v>
      </c>
      <c r="B118" s="20" t="s">
        <v>2</v>
      </c>
      <c r="C118" s="20" t="s">
        <v>22</v>
      </c>
      <c r="D118" s="20" t="s">
        <v>18</v>
      </c>
      <c r="E118" s="20" t="s">
        <v>1</v>
      </c>
      <c r="F118" s="13">
        <f>F119</f>
        <v>418187.92</v>
      </c>
      <c r="G118" s="1"/>
      <c r="I118" s="13">
        <v>377187.92</v>
      </c>
      <c r="J118" s="1"/>
      <c r="L118" s="69">
        <f t="shared" si="2"/>
        <v>41000</v>
      </c>
      <c r="M118" s="69">
        <f t="shared" si="3"/>
        <v>0</v>
      </c>
    </row>
    <row r="119" spans="1:13" ht="31.5" outlineLevel="5">
      <c r="A119" s="19" t="s">
        <v>430</v>
      </c>
      <c r="B119" s="20" t="s">
        <v>2</v>
      </c>
      <c r="C119" s="20" t="s">
        <v>22</v>
      </c>
      <c r="D119" s="20" t="s">
        <v>19</v>
      </c>
      <c r="E119" s="20" t="s">
        <v>1</v>
      </c>
      <c r="F119" s="13">
        <f>F120</f>
        <v>418187.92</v>
      </c>
      <c r="G119" s="2"/>
      <c r="I119" s="13">
        <v>377187.92</v>
      </c>
      <c r="J119" s="2"/>
      <c r="L119" s="69">
        <f t="shared" si="2"/>
        <v>41000</v>
      </c>
      <c r="M119" s="69">
        <f t="shared" si="3"/>
        <v>0</v>
      </c>
    </row>
    <row r="120" spans="1:13" ht="31.5" outlineLevel="6">
      <c r="A120" s="19" t="s">
        <v>689</v>
      </c>
      <c r="B120" s="20" t="s">
        <v>2</v>
      </c>
      <c r="C120" s="20" t="s">
        <v>22</v>
      </c>
      <c r="D120" s="20" t="s">
        <v>19</v>
      </c>
      <c r="E120" s="20" t="s">
        <v>17</v>
      </c>
      <c r="F120" s="13">
        <f>'Приложение_7 '!G89+'Приложение_7 '!G318+'Приложение_7 '!G601+'Приложение_7 '!G676+'Приложение_7 '!G923</f>
        <v>418187.92</v>
      </c>
      <c r="G120" s="2"/>
      <c r="I120" s="13">
        <v>377187.92</v>
      </c>
      <c r="J120" s="2"/>
      <c r="L120" s="69">
        <f t="shared" si="2"/>
        <v>41000</v>
      </c>
      <c r="M120" s="69">
        <f t="shared" si="3"/>
        <v>0</v>
      </c>
    </row>
    <row r="121" spans="1:13" ht="47.25" outlineLevel="4">
      <c r="A121" s="19" t="s">
        <v>487</v>
      </c>
      <c r="B121" s="20" t="s">
        <v>2</v>
      </c>
      <c r="C121" s="20" t="s">
        <v>22</v>
      </c>
      <c r="D121" s="20" t="s">
        <v>8</v>
      </c>
      <c r="E121" s="20" t="s">
        <v>1</v>
      </c>
      <c r="F121" s="13">
        <f>F122</f>
        <v>272700</v>
      </c>
      <c r="G121" s="2"/>
      <c r="I121" s="13">
        <v>526410.04</v>
      </c>
      <c r="J121" s="2"/>
      <c r="L121" s="69">
        <f t="shared" si="2"/>
        <v>-253710.04000000004</v>
      </c>
      <c r="M121" s="69">
        <f t="shared" si="3"/>
        <v>0</v>
      </c>
    </row>
    <row r="122" spans="1:13" ht="31.5" outlineLevel="5">
      <c r="A122" s="19" t="s">
        <v>430</v>
      </c>
      <c r="B122" s="20" t="s">
        <v>2</v>
      </c>
      <c r="C122" s="20" t="s">
        <v>22</v>
      </c>
      <c r="D122" s="20" t="s">
        <v>9</v>
      </c>
      <c r="E122" s="20" t="s">
        <v>1</v>
      </c>
      <c r="F122" s="13">
        <f>F123+F124</f>
        <v>272700</v>
      </c>
      <c r="G122" s="2"/>
      <c r="I122" s="13">
        <v>526410.04</v>
      </c>
      <c r="J122" s="2"/>
      <c r="L122" s="69">
        <f t="shared" si="2"/>
        <v>-253710.04000000004</v>
      </c>
      <c r="M122" s="69">
        <f t="shared" si="3"/>
        <v>0</v>
      </c>
    </row>
    <row r="123" spans="1:13" ht="78.75" outlineLevel="6">
      <c r="A123" s="19" t="s">
        <v>704</v>
      </c>
      <c r="B123" s="20" t="s">
        <v>2</v>
      </c>
      <c r="C123" s="20" t="s">
        <v>22</v>
      </c>
      <c r="D123" s="20" t="s">
        <v>9</v>
      </c>
      <c r="E123" s="20" t="s">
        <v>10</v>
      </c>
      <c r="F123" s="13">
        <f>'Приложение_7 '!G92+'Приложение_7 '!G321+'Приложение_7 '!G604</f>
        <v>183500</v>
      </c>
      <c r="G123" s="2"/>
      <c r="I123" s="13">
        <v>392210.04</v>
      </c>
      <c r="J123" s="2"/>
      <c r="L123" s="69">
        <f t="shared" si="2"/>
        <v>-208710.03999999998</v>
      </c>
      <c r="M123" s="69">
        <f t="shared" si="3"/>
        <v>0</v>
      </c>
    </row>
    <row r="124" spans="1:13" ht="31.5" outlineLevel="6">
      <c r="A124" s="19" t="s">
        <v>689</v>
      </c>
      <c r="B124" s="20" t="s">
        <v>2</v>
      </c>
      <c r="C124" s="20" t="s">
        <v>22</v>
      </c>
      <c r="D124" s="20" t="s">
        <v>9</v>
      </c>
      <c r="E124" s="20" t="s">
        <v>17</v>
      </c>
      <c r="F124" s="13">
        <f>'Приложение_7 '!G93+'Приложение_7 '!G322</f>
        <v>89200</v>
      </c>
      <c r="G124" s="2"/>
      <c r="I124" s="13">
        <v>134200</v>
      </c>
      <c r="J124" s="2"/>
      <c r="L124" s="69">
        <f t="shared" si="2"/>
        <v>-45000</v>
      </c>
      <c r="M124" s="69">
        <f t="shared" si="3"/>
        <v>0</v>
      </c>
    </row>
    <row r="125" spans="1:13" s="68" customFormat="1" ht="47.25" outlineLevel="1">
      <c r="A125" s="42" t="s">
        <v>662</v>
      </c>
      <c r="B125" s="43" t="s">
        <v>2</v>
      </c>
      <c r="C125" s="43" t="s">
        <v>60</v>
      </c>
      <c r="D125" s="43" t="s">
        <v>4</v>
      </c>
      <c r="E125" s="43" t="s">
        <v>1</v>
      </c>
      <c r="F125" s="12">
        <f>F126+F135</f>
        <v>4463360.850000001</v>
      </c>
      <c r="G125" s="1"/>
      <c r="I125" s="12">
        <v>4055189</v>
      </c>
      <c r="J125" s="1"/>
      <c r="L125" s="69">
        <f t="shared" si="2"/>
        <v>408171.85000000056</v>
      </c>
      <c r="M125" s="69">
        <f t="shared" si="3"/>
        <v>0</v>
      </c>
    </row>
    <row r="126" spans="1:13" ht="47.25" outlineLevel="2">
      <c r="A126" s="42" t="s">
        <v>652</v>
      </c>
      <c r="B126" s="43" t="s">
        <v>2</v>
      </c>
      <c r="C126" s="43" t="s">
        <v>60</v>
      </c>
      <c r="D126" s="43" t="s">
        <v>6</v>
      </c>
      <c r="E126" s="43" t="s">
        <v>1</v>
      </c>
      <c r="F126" s="12">
        <f>F127</f>
        <v>73514</v>
      </c>
      <c r="G126" s="1"/>
      <c r="I126" s="12">
        <v>73514</v>
      </c>
      <c r="J126" s="1"/>
      <c r="L126" s="69">
        <f t="shared" si="2"/>
        <v>0</v>
      </c>
      <c r="M126" s="69">
        <f t="shared" si="3"/>
        <v>0</v>
      </c>
    </row>
    <row r="127" spans="1:13" ht="31.5" outlineLevel="3">
      <c r="A127" s="42" t="s">
        <v>609</v>
      </c>
      <c r="B127" s="43" t="s">
        <v>2</v>
      </c>
      <c r="C127" s="43" t="s">
        <v>60</v>
      </c>
      <c r="D127" s="43" t="s">
        <v>7</v>
      </c>
      <c r="E127" s="43" t="s">
        <v>1</v>
      </c>
      <c r="F127" s="12">
        <v>73514</v>
      </c>
      <c r="G127" s="1"/>
      <c r="I127" s="12">
        <v>73514</v>
      </c>
      <c r="J127" s="1"/>
      <c r="L127" s="69">
        <f t="shared" si="2"/>
        <v>0</v>
      </c>
      <c r="M127" s="69">
        <f t="shared" si="3"/>
        <v>0</v>
      </c>
    </row>
    <row r="128" spans="1:13" ht="63" outlineLevel="4">
      <c r="A128" s="19" t="s">
        <v>488</v>
      </c>
      <c r="B128" s="20" t="s">
        <v>2</v>
      </c>
      <c r="C128" s="20" t="s">
        <v>60</v>
      </c>
      <c r="D128" s="20" t="s">
        <v>15</v>
      </c>
      <c r="E128" s="20" t="s">
        <v>1</v>
      </c>
      <c r="F128" s="13">
        <f>F129</f>
        <v>57400</v>
      </c>
      <c r="G128" s="2"/>
      <c r="I128" s="13">
        <v>57400</v>
      </c>
      <c r="J128" s="2"/>
      <c r="L128" s="69">
        <f t="shared" si="2"/>
        <v>0</v>
      </c>
      <c r="M128" s="69">
        <f t="shared" si="3"/>
        <v>0</v>
      </c>
    </row>
    <row r="129" spans="1:13" ht="31.5" outlineLevel="5">
      <c r="A129" s="19" t="s">
        <v>430</v>
      </c>
      <c r="B129" s="20" t="s">
        <v>2</v>
      </c>
      <c r="C129" s="20" t="s">
        <v>60</v>
      </c>
      <c r="D129" s="20" t="s">
        <v>16</v>
      </c>
      <c r="E129" s="20" t="s">
        <v>1</v>
      </c>
      <c r="F129" s="13">
        <f>F130+F131</f>
        <v>57400</v>
      </c>
      <c r="G129" s="2"/>
      <c r="I129" s="13">
        <v>57400</v>
      </c>
      <c r="J129" s="2"/>
      <c r="L129" s="69">
        <f t="shared" si="2"/>
        <v>0</v>
      </c>
      <c r="M129" s="69">
        <f t="shared" si="3"/>
        <v>0</v>
      </c>
    </row>
    <row r="130" spans="1:13" ht="78.75" outlineLevel="6">
      <c r="A130" s="19" t="s">
        <v>704</v>
      </c>
      <c r="B130" s="20" t="s">
        <v>2</v>
      </c>
      <c r="C130" s="20" t="s">
        <v>60</v>
      </c>
      <c r="D130" s="20" t="s">
        <v>16</v>
      </c>
      <c r="E130" s="20" t="s">
        <v>10</v>
      </c>
      <c r="F130" s="13">
        <f>'Приложение_7 '!G1103</f>
        <v>30700</v>
      </c>
      <c r="G130" s="2"/>
      <c r="I130" s="13">
        <v>30700</v>
      </c>
      <c r="J130" s="2"/>
      <c r="L130" s="69">
        <f t="shared" si="2"/>
        <v>0</v>
      </c>
      <c r="M130" s="69">
        <f t="shared" si="3"/>
        <v>0</v>
      </c>
    </row>
    <row r="131" spans="1:13" ht="31.5" outlineLevel="6">
      <c r="A131" s="19" t="s">
        <v>689</v>
      </c>
      <c r="B131" s="20" t="s">
        <v>2</v>
      </c>
      <c r="C131" s="20" t="s">
        <v>60</v>
      </c>
      <c r="D131" s="20" t="s">
        <v>16</v>
      </c>
      <c r="E131" s="20" t="s">
        <v>17</v>
      </c>
      <c r="F131" s="13">
        <f>'Приложение_7 '!G1104</f>
        <v>26700</v>
      </c>
      <c r="G131" s="2"/>
      <c r="I131" s="13">
        <v>26700</v>
      </c>
      <c r="J131" s="2"/>
      <c r="L131" s="69">
        <f t="shared" si="2"/>
        <v>0</v>
      </c>
      <c r="M131" s="69">
        <f t="shared" si="3"/>
        <v>0</v>
      </c>
    </row>
    <row r="132" spans="1:13" ht="15.75" outlineLevel="4">
      <c r="A132" s="19" t="s">
        <v>489</v>
      </c>
      <c r="B132" s="20" t="s">
        <v>2</v>
      </c>
      <c r="C132" s="20" t="s">
        <v>60</v>
      </c>
      <c r="D132" s="20" t="s">
        <v>18</v>
      </c>
      <c r="E132" s="20" t="s">
        <v>1</v>
      </c>
      <c r="F132" s="13">
        <f>F133</f>
        <v>16114</v>
      </c>
      <c r="G132" s="2"/>
      <c r="I132" s="13">
        <v>16114</v>
      </c>
      <c r="J132" s="2"/>
      <c r="L132" s="69">
        <f t="shared" si="2"/>
        <v>0</v>
      </c>
      <c r="M132" s="69">
        <f t="shared" si="3"/>
        <v>0</v>
      </c>
    </row>
    <row r="133" spans="1:13" ht="31.5" outlineLevel="5">
      <c r="A133" s="19" t="s">
        <v>430</v>
      </c>
      <c r="B133" s="20" t="s">
        <v>2</v>
      </c>
      <c r="C133" s="20" t="s">
        <v>60</v>
      </c>
      <c r="D133" s="20" t="s">
        <v>19</v>
      </c>
      <c r="E133" s="20" t="s">
        <v>1</v>
      </c>
      <c r="F133" s="13">
        <f>F134</f>
        <v>16114</v>
      </c>
      <c r="G133" s="2"/>
      <c r="I133" s="13">
        <v>16114</v>
      </c>
      <c r="J133" s="2"/>
      <c r="L133" s="69">
        <f t="shared" si="2"/>
        <v>0</v>
      </c>
      <c r="M133" s="69">
        <f t="shared" si="3"/>
        <v>0</v>
      </c>
    </row>
    <row r="134" spans="1:13" ht="31.5" outlineLevel="6">
      <c r="A134" s="19" t="s">
        <v>689</v>
      </c>
      <c r="B134" s="20" t="s">
        <v>2</v>
      </c>
      <c r="C134" s="20" t="s">
        <v>60</v>
      </c>
      <c r="D134" s="20" t="s">
        <v>19</v>
      </c>
      <c r="E134" s="20" t="s">
        <v>17</v>
      </c>
      <c r="F134" s="13">
        <f>'Приложение_7 '!G1107</f>
        <v>16114</v>
      </c>
      <c r="G134" s="2"/>
      <c r="I134" s="13">
        <v>16114</v>
      </c>
      <c r="J134" s="2"/>
      <c r="L134" s="69">
        <f t="shared" si="2"/>
        <v>0</v>
      </c>
      <c r="M134" s="69">
        <f t="shared" si="3"/>
        <v>0</v>
      </c>
    </row>
    <row r="135" spans="1:13" ht="15.75" outlineLevel="2">
      <c r="A135" s="42" t="s">
        <v>490</v>
      </c>
      <c r="B135" s="43" t="s">
        <v>2</v>
      </c>
      <c r="C135" s="43" t="s">
        <v>60</v>
      </c>
      <c r="D135" s="43" t="s">
        <v>11</v>
      </c>
      <c r="E135" s="43" t="s">
        <v>1</v>
      </c>
      <c r="F135" s="12">
        <f>F136+F138+F140+F142</f>
        <v>4389846.850000001</v>
      </c>
      <c r="G135" s="1"/>
      <c r="I135" s="12">
        <v>3981675</v>
      </c>
      <c r="J135" s="1"/>
      <c r="L135" s="69">
        <f t="shared" si="2"/>
        <v>408171.85000000056</v>
      </c>
      <c r="M135" s="69">
        <f t="shared" si="3"/>
        <v>0</v>
      </c>
    </row>
    <row r="136" spans="1:13" ht="47.25" outlineLevel="5">
      <c r="A136" s="19" t="s">
        <v>437</v>
      </c>
      <c r="B136" s="20" t="s">
        <v>2</v>
      </c>
      <c r="C136" s="20" t="s">
        <v>60</v>
      </c>
      <c r="D136" s="20" t="s">
        <v>61</v>
      </c>
      <c r="E136" s="20" t="s">
        <v>1</v>
      </c>
      <c r="F136" s="13">
        <f>F137</f>
        <v>1751022.02</v>
      </c>
      <c r="G136" s="2"/>
      <c r="I136" s="13">
        <v>1299819</v>
      </c>
      <c r="J136" s="2"/>
      <c r="L136" s="69">
        <f t="shared" si="2"/>
        <v>451203.02</v>
      </c>
      <c r="M136" s="69">
        <f t="shared" si="3"/>
        <v>0</v>
      </c>
    </row>
    <row r="137" spans="1:13" ht="78.75" outlineLevel="6">
      <c r="A137" s="19" t="s">
        <v>704</v>
      </c>
      <c r="B137" s="20" t="s">
        <v>2</v>
      </c>
      <c r="C137" s="20" t="s">
        <v>60</v>
      </c>
      <c r="D137" s="20" t="s">
        <v>61</v>
      </c>
      <c r="E137" s="20" t="s">
        <v>10</v>
      </c>
      <c r="F137" s="13">
        <f>'Приложение_7 '!G1110</f>
        <v>1751022.02</v>
      </c>
      <c r="G137" s="2"/>
      <c r="I137" s="13">
        <v>1299819</v>
      </c>
      <c r="J137" s="2"/>
      <c r="L137" s="69">
        <f t="shared" si="2"/>
        <v>451203.02</v>
      </c>
      <c r="M137" s="69">
        <f t="shared" si="3"/>
        <v>0</v>
      </c>
    </row>
    <row r="138" spans="1:13" ht="31.5" outlineLevel="5">
      <c r="A138" s="19" t="s">
        <v>434</v>
      </c>
      <c r="B138" s="20" t="s">
        <v>2</v>
      </c>
      <c r="C138" s="20" t="s">
        <v>60</v>
      </c>
      <c r="D138" s="20" t="s">
        <v>21</v>
      </c>
      <c r="E138" s="20" t="s">
        <v>1</v>
      </c>
      <c r="F138" s="13">
        <f>F139</f>
        <v>2047661</v>
      </c>
      <c r="G138" s="2"/>
      <c r="I138" s="13">
        <v>2047661</v>
      </c>
      <c r="J138" s="2"/>
      <c r="L138" s="69">
        <f t="shared" si="2"/>
        <v>0</v>
      </c>
      <c r="M138" s="69">
        <f t="shared" si="3"/>
        <v>0</v>
      </c>
    </row>
    <row r="139" spans="1:13" ht="78.75" outlineLevel="6">
      <c r="A139" s="19" t="s">
        <v>704</v>
      </c>
      <c r="B139" s="20" t="s">
        <v>2</v>
      </c>
      <c r="C139" s="20" t="s">
        <v>60</v>
      </c>
      <c r="D139" s="20" t="s">
        <v>21</v>
      </c>
      <c r="E139" s="20" t="s">
        <v>10</v>
      </c>
      <c r="F139" s="13">
        <f>'Приложение_7 '!G1112</f>
        <v>2047661</v>
      </c>
      <c r="G139" s="1"/>
      <c r="I139" s="13">
        <v>2047661</v>
      </c>
      <c r="J139" s="1"/>
      <c r="L139" s="69">
        <f t="shared" si="2"/>
        <v>0</v>
      </c>
      <c r="M139" s="69">
        <f t="shared" si="3"/>
        <v>0</v>
      </c>
    </row>
    <row r="140" spans="1:13" ht="47.25" outlineLevel="5">
      <c r="A140" s="19" t="s">
        <v>436</v>
      </c>
      <c r="B140" s="20" t="s">
        <v>2</v>
      </c>
      <c r="C140" s="20" t="s">
        <v>60</v>
      </c>
      <c r="D140" s="20" t="s">
        <v>62</v>
      </c>
      <c r="E140" s="20" t="s">
        <v>1</v>
      </c>
      <c r="F140" s="13">
        <f>F141</f>
        <v>533598.17</v>
      </c>
      <c r="G140" s="2"/>
      <c r="I140" s="13">
        <v>548195</v>
      </c>
      <c r="J140" s="2"/>
      <c r="L140" s="69">
        <f t="shared" si="2"/>
        <v>-14596.829999999958</v>
      </c>
      <c r="M140" s="69">
        <f t="shared" si="3"/>
        <v>0</v>
      </c>
    </row>
    <row r="141" spans="1:13" ht="78.75" outlineLevel="6">
      <c r="A141" s="19" t="s">
        <v>704</v>
      </c>
      <c r="B141" s="20" t="s">
        <v>2</v>
      </c>
      <c r="C141" s="20" t="s">
        <v>60</v>
      </c>
      <c r="D141" s="20" t="s">
        <v>62</v>
      </c>
      <c r="E141" s="20" t="s">
        <v>10</v>
      </c>
      <c r="F141" s="13">
        <f>'Приложение_7 '!G1114</f>
        <v>533598.17</v>
      </c>
      <c r="G141" s="2"/>
      <c r="I141" s="13">
        <v>548195</v>
      </c>
      <c r="J141" s="2"/>
      <c r="L141" s="69">
        <f t="shared" si="2"/>
        <v>-14596.829999999958</v>
      </c>
      <c r="M141" s="69">
        <f t="shared" si="3"/>
        <v>0</v>
      </c>
    </row>
    <row r="142" spans="1:13" ht="63" outlineLevel="5">
      <c r="A142" s="19" t="s">
        <v>432</v>
      </c>
      <c r="B142" s="20" t="s">
        <v>2</v>
      </c>
      <c r="C142" s="20" t="s">
        <v>60</v>
      </c>
      <c r="D142" s="20" t="s">
        <v>13</v>
      </c>
      <c r="E142" s="20" t="s">
        <v>1</v>
      </c>
      <c r="F142" s="13">
        <f>F143</f>
        <v>57565.66</v>
      </c>
      <c r="G142" s="2"/>
      <c r="I142" s="13">
        <v>86000</v>
      </c>
      <c r="J142" s="2"/>
      <c r="L142" s="69">
        <f t="shared" si="2"/>
        <v>-28434.339999999997</v>
      </c>
      <c r="M142" s="69">
        <f t="shared" si="3"/>
        <v>0</v>
      </c>
    </row>
    <row r="143" spans="1:13" ht="78.75" outlineLevel="6">
      <c r="A143" s="19" t="s">
        <v>704</v>
      </c>
      <c r="B143" s="20" t="s">
        <v>2</v>
      </c>
      <c r="C143" s="20" t="s">
        <v>60</v>
      </c>
      <c r="D143" s="20" t="s">
        <v>13</v>
      </c>
      <c r="E143" s="20" t="s">
        <v>10</v>
      </c>
      <c r="F143" s="13">
        <f>'Приложение_7 '!G1116</f>
        <v>57565.66</v>
      </c>
      <c r="G143" s="2"/>
      <c r="I143" s="13">
        <v>86000</v>
      </c>
      <c r="J143" s="2"/>
      <c r="L143" s="69">
        <f t="shared" si="2"/>
        <v>-28434.339999999997</v>
      </c>
      <c r="M143" s="69">
        <f t="shared" si="3"/>
        <v>0</v>
      </c>
    </row>
    <row r="144" spans="1:13" ht="31.5" outlineLevel="6">
      <c r="A144" s="100" t="s">
        <v>892</v>
      </c>
      <c r="B144" s="101" t="s">
        <v>2</v>
      </c>
      <c r="C144" s="101" t="s">
        <v>239</v>
      </c>
      <c r="D144" s="114" t="s">
        <v>4</v>
      </c>
      <c r="E144" s="101" t="s">
        <v>1</v>
      </c>
      <c r="F144" s="115">
        <f>F145</f>
        <v>1063600</v>
      </c>
      <c r="G144" s="2"/>
      <c r="I144" s="13"/>
      <c r="J144" s="2"/>
      <c r="L144" s="69"/>
      <c r="M144" s="69"/>
    </row>
    <row r="145" spans="1:13" ht="15.75" outlineLevel="6">
      <c r="A145" s="89" t="s">
        <v>490</v>
      </c>
      <c r="B145" s="90" t="s">
        <v>2</v>
      </c>
      <c r="C145" s="90" t="s">
        <v>239</v>
      </c>
      <c r="D145" s="90" t="s">
        <v>11</v>
      </c>
      <c r="E145" s="90" t="s">
        <v>1</v>
      </c>
      <c r="F145" s="116">
        <f>F146</f>
        <v>1063600</v>
      </c>
      <c r="G145" s="2"/>
      <c r="I145" s="13"/>
      <c r="J145" s="2"/>
      <c r="L145" s="69"/>
      <c r="M145" s="69"/>
    </row>
    <row r="146" spans="1:13" ht="31.5" outlineLevel="6">
      <c r="A146" s="89" t="s">
        <v>893</v>
      </c>
      <c r="B146" s="90" t="s">
        <v>2</v>
      </c>
      <c r="C146" s="90" t="s">
        <v>239</v>
      </c>
      <c r="D146" s="90" t="s">
        <v>894</v>
      </c>
      <c r="E146" s="90" t="s">
        <v>1</v>
      </c>
      <c r="F146" s="116">
        <f>F147</f>
        <v>1063600</v>
      </c>
      <c r="G146" s="2"/>
      <c r="I146" s="13"/>
      <c r="J146" s="2"/>
      <c r="L146" s="69"/>
      <c r="M146" s="69"/>
    </row>
    <row r="147" spans="1:13" ht="31.5" outlineLevel="6">
      <c r="A147" s="89" t="s">
        <v>689</v>
      </c>
      <c r="B147" s="90" t="s">
        <v>2</v>
      </c>
      <c r="C147" s="90" t="s">
        <v>239</v>
      </c>
      <c r="D147" s="90" t="s">
        <v>894</v>
      </c>
      <c r="E147" s="90" t="s">
        <v>65</v>
      </c>
      <c r="F147" s="116">
        <f>'Приложение_7 '!G97</f>
        <v>1063600</v>
      </c>
      <c r="G147" s="2"/>
      <c r="I147" s="13"/>
      <c r="J147" s="2"/>
      <c r="L147" s="69"/>
      <c r="M147" s="69"/>
    </row>
    <row r="148" spans="1:13" s="68" customFormat="1" ht="15.75" outlineLevel="1">
      <c r="A148" s="42" t="s">
        <v>944</v>
      </c>
      <c r="B148" s="43" t="s">
        <v>2</v>
      </c>
      <c r="C148" s="43" t="s">
        <v>63</v>
      </c>
      <c r="D148" s="43" t="s">
        <v>4</v>
      </c>
      <c r="E148" s="43" t="s">
        <v>1</v>
      </c>
      <c r="F148" s="12">
        <f>F149</f>
        <v>513310</v>
      </c>
      <c r="G148" s="1"/>
      <c r="I148" s="12">
        <v>1606000</v>
      </c>
      <c r="J148" s="1"/>
      <c r="L148" s="69">
        <f t="shared" si="2"/>
        <v>-1092690</v>
      </c>
      <c r="M148" s="69">
        <f t="shared" si="3"/>
        <v>0</v>
      </c>
    </row>
    <row r="149" spans="1:13" ht="15.75" outlineLevel="2">
      <c r="A149" s="42" t="s">
        <v>490</v>
      </c>
      <c r="B149" s="43" t="s">
        <v>2</v>
      </c>
      <c r="C149" s="43" t="s">
        <v>63</v>
      </c>
      <c r="D149" s="43" t="s">
        <v>11</v>
      </c>
      <c r="E149" s="43" t="s">
        <v>1</v>
      </c>
      <c r="F149" s="12">
        <f>F150</f>
        <v>513310</v>
      </c>
      <c r="G149" s="1"/>
      <c r="I149" s="12">
        <v>1606000</v>
      </c>
      <c r="J149" s="1"/>
      <c r="L149" s="69">
        <f t="shared" si="2"/>
        <v>-1092690</v>
      </c>
      <c r="M149" s="69">
        <f t="shared" si="3"/>
        <v>0</v>
      </c>
    </row>
    <row r="150" spans="1:13" ht="31.5" outlineLevel="5">
      <c r="A150" s="19" t="s">
        <v>438</v>
      </c>
      <c r="B150" s="20" t="s">
        <v>2</v>
      </c>
      <c r="C150" s="20" t="s">
        <v>63</v>
      </c>
      <c r="D150" s="20" t="s">
        <v>64</v>
      </c>
      <c r="E150" s="20" t="s">
        <v>1</v>
      </c>
      <c r="F150" s="13">
        <f>F151</f>
        <v>513310</v>
      </c>
      <c r="G150" s="2"/>
      <c r="I150" s="13">
        <v>1606000</v>
      </c>
      <c r="J150" s="2"/>
      <c r="L150" s="69">
        <f t="shared" si="2"/>
        <v>-1092690</v>
      </c>
      <c r="M150" s="69">
        <f t="shared" si="3"/>
        <v>0</v>
      </c>
    </row>
    <row r="151" spans="1:13" ht="15.75" outlineLevel="6">
      <c r="A151" s="19" t="s">
        <v>691</v>
      </c>
      <c r="B151" s="20" t="s">
        <v>2</v>
      </c>
      <c r="C151" s="20" t="s">
        <v>63</v>
      </c>
      <c r="D151" s="20" t="s">
        <v>64</v>
      </c>
      <c r="E151" s="20" t="s">
        <v>65</v>
      </c>
      <c r="F151" s="13">
        <f>'Приложение_7 '!G608</f>
        <v>513310</v>
      </c>
      <c r="G151" s="2"/>
      <c r="I151" s="13">
        <v>1606000</v>
      </c>
      <c r="J151" s="2"/>
      <c r="L151" s="69">
        <f t="shared" si="2"/>
        <v>-1092690</v>
      </c>
      <c r="M151" s="69">
        <f t="shared" si="3"/>
        <v>0</v>
      </c>
    </row>
    <row r="152" spans="1:13" s="68" customFormat="1" ht="24.75" customHeight="1" outlineLevel="1">
      <c r="A152" s="42" t="s">
        <v>664</v>
      </c>
      <c r="B152" s="43" t="s">
        <v>2</v>
      </c>
      <c r="C152" s="43" t="s">
        <v>66</v>
      </c>
      <c r="D152" s="43" t="s">
        <v>4</v>
      </c>
      <c r="E152" s="43" t="s">
        <v>1</v>
      </c>
      <c r="F152" s="12">
        <f>F153+F157+F175+F179+F189+F227+F291+F220</f>
        <v>119994565.82</v>
      </c>
      <c r="G152" s="12">
        <f>G153+G157+G175+G179+G189+G227+G291</f>
        <v>784042</v>
      </c>
      <c r="I152" s="12">
        <v>110418207.42</v>
      </c>
      <c r="J152" s="1">
        <f>J189+J227</f>
        <v>784042</v>
      </c>
      <c r="L152" s="69">
        <f t="shared" si="2"/>
        <v>9576358.399999991</v>
      </c>
      <c r="M152" s="69">
        <f t="shared" si="3"/>
        <v>0</v>
      </c>
    </row>
    <row r="153" spans="1:13" ht="47.25" outlineLevel="2">
      <c r="A153" s="42" t="s">
        <v>615</v>
      </c>
      <c r="B153" s="43" t="s">
        <v>2</v>
      </c>
      <c r="C153" s="43" t="s">
        <v>66</v>
      </c>
      <c r="D153" s="43" t="s">
        <v>67</v>
      </c>
      <c r="E153" s="43" t="s">
        <v>1</v>
      </c>
      <c r="F153" s="12">
        <f>F154</f>
        <v>318944</v>
      </c>
      <c r="G153" s="1"/>
      <c r="I153" s="12">
        <v>318944</v>
      </c>
      <c r="J153" s="1"/>
      <c r="L153" s="69">
        <f t="shared" si="2"/>
        <v>0</v>
      </c>
      <c r="M153" s="69">
        <f t="shared" si="3"/>
        <v>0</v>
      </c>
    </row>
    <row r="154" spans="1:13" ht="47.25" outlineLevel="4">
      <c r="A154" s="19" t="s">
        <v>499</v>
      </c>
      <c r="B154" s="20" t="s">
        <v>2</v>
      </c>
      <c r="C154" s="20" t="s">
        <v>66</v>
      </c>
      <c r="D154" s="20" t="s">
        <v>68</v>
      </c>
      <c r="E154" s="20" t="s">
        <v>1</v>
      </c>
      <c r="F154" s="13">
        <f>F155</f>
        <v>318944</v>
      </c>
      <c r="G154" s="2"/>
      <c r="I154" s="13">
        <v>318944</v>
      </c>
      <c r="J154" s="2"/>
      <c r="L154" s="69">
        <f t="shared" si="2"/>
        <v>0</v>
      </c>
      <c r="M154" s="69">
        <f t="shared" si="3"/>
        <v>0</v>
      </c>
    </row>
    <row r="155" spans="1:13" ht="31.5" outlineLevel="5">
      <c r="A155" s="19" t="s">
        <v>439</v>
      </c>
      <c r="B155" s="20" t="s">
        <v>2</v>
      </c>
      <c r="C155" s="20" t="s">
        <v>66</v>
      </c>
      <c r="D155" s="20" t="s">
        <v>69</v>
      </c>
      <c r="E155" s="20" t="s">
        <v>1</v>
      </c>
      <c r="F155" s="13">
        <f>F156</f>
        <v>318944</v>
      </c>
      <c r="G155" s="2"/>
      <c r="I155" s="13">
        <v>318944</v>
      </c>
      <c r="J155" s="2"/>
      <c r="L155" s="69">
        <f t="shared" si="2"/>
        <v>0</v>
      </c>
      <c r="M155" s="69">
        <f t="shared" si="3"/>
        <v>0</v>
      </c>
    </row>
    <row r="156" spans="1:13" ht="31.5" outlineLevel="6">
      <c r="A156" s="19" t="s">
        <v>692</v>
      </c>
      <c r="B156" s="20" t="s">
        <v>2</v>
      </c>
      <c r="C156" s="20" t="s">
        <v>66</v>
      </c>
      <c r="D156" s="20" t="s">
        <v>69</v>
      </c>
      <c r="E156" s="20" t="s">
        <v>70</v>
      </c>
      <c r="F156" s="13">
        <f>'Приложение_7 '!G102</f>
        <v>318944</v>
      </c>
      <c r="G156" s="2"/>
      <c r="I156" s="13">
        <v>318944</v>
      </c>
      <c r="J156" s="2"/>
      <c r="L156" s="69">
        <f t="shared" si="2"/>
        <v>0</v>
      </c>
      <c r="M156" s="69">
        <f t="shared" si="3"/>
        <v>0</v>
      </c>
    </row>
    <row r="157" spans="1:13" ht="47.25" outlineLevel="2">
      <c r="A157" s="42" t="s">
        <v>654</v>
      </c>
      <c r="B157" s="43" t="s">
        <v>2</v>
      </c>
      <c r="C157" s="43" t="s">
        <v>66</v>
      </c>
      <c r="D157" s="43" t="s">
        <v>71</v>
      </c>
      <c r="E157" s="43" t="s">
        <v>1</v>
      </c>
      <c r="F157" s="12">
        <f>F158+F171</f>
        <v>3713847.98</v>
      </c>
      <c r="G157" s="1"/>
      <c r="I157" s="12">
        <v>3518500</v>
      </c>
      <c r="J157" s="1"/>
      <c r="L157" s="69">
        <f t="shared" si="2"/>
        <v>195347.97999999998</v>
      </c>
      <c r="M157" s="69">
        <f t="shared" si="3"/>
        <v>0</v>
      </c>
    </row>
    <row r="158" spans="1:13" ht="47.25" outlineLevel="3">
      <c r="A158" s="42" t="s">
        <v>616</v>
      </c>
      <c r="B158" s="43" t="s">
        <v>2</v>
      </c>
      <c r="C158" s="43" t="s">
        <v>66</v>
      </c>
      <c r="D158" s="43" t="s">
        <v>72</v>
      </c>
      <c r="E158" s="43" t="s">
        <v>1</v>
      </c>
      <c r="F158" s="12">
        <f>F159+F162+F165+F168</f>
        <v>3426847.98</v>
      </c>
      <c r="G158" s="1"/>
      <c r="I158" s="12">
        <v>3231500</v>
      </c>
      <c r="J158" s="1"/>
      <c r="L158" s="69">
        <f aca="true" t="shared" si="4" ref="L158:L234">F158-I158</f>
        <v>195347.97999999998</v>
      </c>
      <c r="M158" s="69">
        <f aca="true" t="shared" si="5" ref="M158:M234">G158-J158</f>
        <v>0</v>
      </c>
    </row>
    <row r="159" spans="1:13" ht="31.5" outlineLevel="4">
      <c r="A159" s="19" t="s">
        <v>500</v>
      </c>
      <c r="B159" s="20" t="s">
        <v>2</v>
      </c>
      <c r="C159" s="20" t="s">
        <v>66</v>
      </c>
      <c r="D159" s="20" t="s">
        <v>73</v>
      </c>
      <c r="E159" s="20" t="s">
        <v>1</v>
      </c>
      <c r="F159" s="13">
        <f>F160</f>
        <v>1899660</v>
      </c>
      <c r="G159" s="2"/>
      <c r="I159" s="13">
        <v>231500</v>
      </c>
      <c r="J159" s="2"/>
      <c r="L159" s="69">
        <f t="shared" si="4"/>
        <v>1668160</v>
      </c>
      <c r="M159" s="69">
        <f t="shared" si="5"/>
        <v>0</v>
      </c>
    </row>
    <row r="160" spans="1:13" ht="31.5" outlineLevel="5">
      <c r="A160" s="19" t="s">
        <v>440</v>
      </c>
      <c r="B160" s="20" t="s">
        <v>2</v>
      </c>
      <c r="C160" s="20" t="s">
        <v>66</v>
      </c>
      <c r="D160" s="20" t="s">
        <v>74</v>
      </c>
      <c r="E160" s="20" t="s">
        <v>1</v>
      </c>
      <c r="F160" s="13">
        <f>F161</f>
        <v>1899660</v>
      </c>
      <c r="G160" s="2"/>
      <c r="I160" s="13">
        <v>231500</v>
      </c>
      <c r="J160" s="2"/>
      <c r="L160" s="69">
        <f t="shared" si="4"/>
        <v>1668160</v>
      </c>
      <c r="M160" s="69">
        <f t="shared" si="5"/>
        <v>0</v>
      </c>
    </row>
    <row r="161" spans="1:13" ht="31.5" outlineLevel="6">
      <c r="A161" s="19" t="s">
        <v>689</v>
      </c>
      <c r="B161" s="20" t="s">
        <v>2</v>
      </c>
      <c r="C161" s="20" t="s">
        <v>66</v>
      </c>
      <c r="D161" s="20" t="s">
        <v>74</v>
      </c>
      <c r="E161" s="20" t="s">
        <v>17</v>
      </c>
      <c r="F161" s="13">
        <f>'Приложение_7 '!G107</f>
        <v>1899660</v>
      </c>
      <c r="G161" s="2"/>
      <c r="I161" s="13">
        <v>231500</v>
      </c>
      <c r="J161" s="2"/>
      <c r="L161" s="69">
        <f t="shared" si="4"/>
        <v>1668160</v>
      </c>
      <c r="M161" s="69">
        <f t="shared" si="5"/>
        <v>0</v>
      </c>
    </row>
    <row r="162" spans="1:13" ht="31.5" hidden="1" outlineLevel="4">
      <c r="A162" s="19" t="s">
        <v>501</v>
      </c>
      <c r="B162" s="20" t="s">
        <v>2</v>
      </c>
      <c r="C162" s="20" t="s">
        <v>66</v>
      </c>
      <c r="D162" s="20" t="s">
        <v>75</v>
      </c>
      <c r="E162" s="20" t="s">
        <v>1</v>
      </c>
      <c r="F162" s="13">
        <f>F163</f>
        <v>0</v>
      </c>
      <c r="G162" s="2"/>
      <c r="I162" s="13">
        <v>3000000</v>
      </c>
      <c r="J162" s="2"/>
      <c r="L162" s="69">
        <f t="shared" si="4"/>
        <v>-3000000</v>
      </c>
      <c r="M162" s="69">
        <f t="shared" si="5"/>
        <v>0</v>
      </c>
    </row>
    <row r="163" spans="1:13" ht="31.5" hidden="1" outlineLevel="5">
      <c r="A163" s="19" t="s">
        <v>441</v>
      </c>
      <c r="B163" s="20" t="s">
        <v>2</v>
      </c>
      <c r="C163" s="20" t="s">
        <v>66</v>
      </c>
      <c r="D163" s="20" t="s">
        <v>76</v>
      </c>
      <c r="E163" s="20" t="s">
        <v>1</v>
      </c>
      <c r="F163" s="13">
        <f>F164</f>
        <v>0</v>
      </c>
      <c r="G163" s="2"/>
      <c r="I163" s="13">
        <v>3000000</v>
      </c>
      <c r="J163" s="2"/>
      <c r="L163" s="69">
        <f t="shared" si="4"/>
        <v>-3000000</v>
      </c>
      <c r="M163" s="69">
        <f t="shared" si="5"/>
        <v>0</v>
      </c>
    </row>
    <row r="164" spans="1:13" ht="31.5" hidden="1" outlineLevel="6">
      <c r="A164" s="19" t="s">
        <v>689</v>
      </c>
      <c r="B164" s="20" t="s">
        <v>2</v>
      </c>
      <c r="C164" s="20" t="s">
        <v>66</v>
      </c>
      <c r="D164" s="20" t="s">
        <v>76</v>
      </c>
      <c r="E164" s="20" t="s">
        <v>17</v>
      </c>
      <c r="F164" s="13">
        <f>'Приложение_7 '!G110</f>
        <v>0</v>
      </c>
      <c r="G164" s="2"/>
      <c r="I164" s="13">
        <v>3000000</v>
      </c>
      <c r="J164" s="2"/>
      <c r="L164" s="69">
        <f t="shared" si="4"/>
        <v>-3000000</v>
      </c>
      <c r="M164" s="69">
        <f t="shared" si="5"/>
        <v>0</v>
      </c>
    </row>
    <row r="165" spans="1:13" ht="78.75" outlineLevel="6">
      <c r="A165" s="36" t="s">
        <v>526</v>
      </c>
      <c r="B165" s="37" t="s">
        <v>2</v>
      </c>
      <c r="C165" s="37" t="s">
        <v>66</v>
      </c>
      <c r="D165" s="37" t="s">
        <v>147</v>
      </c>
      <c r="E165" s="37" t="s">
        <v>1</v>
      </c>
      <c r="F165" s="13">
        <f>F166</f>
        <v>71940</v>
      </c>
      <c r="G165" s="2"/>
      <c r="I165" s="13"/>
      <c r="J165" s="2"/>
      <c r="L165" s="69"/>
      <c r="M165" s="69"/>
    </row>
    <row r="166" spans="1:13" ht="31.5" outlineLevel="6">
      <c r="A166" s="36" t="s">
        <v>441</v>
      </c>
      <c r="B166" s="37" t="s">
        <v>2</v>
      </c>
      <c r="C166" s="37" t="s">
        <v>66</v>
      </c>
      <c r="D166" s="37" t="s">
        <v>148</v>
      </c>
      <c r="E166" s="37" t="s">
        <v>1</v>
      </c>
      <c r="F166" s="13">
        <f>F167</f>
        <v>71940</v>
      </c>
      <c r="G166" s="2"/>
      <c r="I166" s="13"/>
      <c r="J166" s="2"/>
      <c r="L166" s="69"/>
      <c r="M166" s="69"/>
    </row>
    <row r="167" spans="1:13" ht="31.5" outlineLevel="6">
      <c r="A167" s="36" t="s">
        <v>689</v>
      </c>
      <c r="B167" s="37" t="s">
        <v>2</v>
      </c>
      <c r="C167" s="37" t="s">
        <v>66</v>
      </c>
      <c r="D167" s="37" t="s">
        <v>148</v>
      </c>
      <c r="E167" s="37" t="s">
        <v>17</v>
      </c>
      <c r="F167" s="13">
        <f>'Приложение_7 '!G113</f>
        <v>71940</v>
      </c>
      <c r="G167" s="2"/>
      <c r="I167" s="13"/>
      <c r="J167" s="2"/>
      <c r="L167" s="69"/>
      <c r="M167" s="69"/>
    </row>
    <row r="168" spans="1:13" ht="63" outlineLevel="6">
      <c r="A168" s="36" t="s">
        <v>954</v>
      </c>
      <c r="B168" s="37" t="s">
        <v>2</v>
      </c>
      <c r="C168" s="37" t="s">
        <v>66</v>
      </c>
      <c r="D168" s="37" t="s">
        <v>955</v>
      </c>
      <c r="E168" s="37" t="s">
        <v>1</v>
      </c>
      <c r="F168" s="13">
        <f>F169</f>
        <v>1455247.98</v>
      </c>
      <c r="G168" s="2"/>
      <c r="I168" s="13"/>
      <c r="J168" s="2"/>
      <c r="L168" s="69"/>
      <c r="M168" s="69"/>
    </row>
    <row r="169" spans="1:13" ht="31.5" outlineLevel="6">
      <c r="A169" s="36" t="s">
        <v>441</v>
      </c>
      <c r="B169" s="37" t="s">
        <v>2</v>
      </c>
      <c r="C169" s="37" t="s">
        <v>66</v>
      </c>
      <c r="D169" s="37" t="s">
        <v>956</v>
      </c>
      <c r="E169" s="37" t="s">
        <v>1</v>
      </c>
      <c r="F169" s="13">
        <f>F170</f>
        <v>1455247.98</v>
      </c>
      <c r="G169" s="2"/>
      <c r="I169" s="13"/>
      <c r="J169" s="2"/>
      <c r="L169" s="69"/>
      <c r="M169" s="69"/>
    </row>
    <row r="170" spans="1:13" ht="31.5" outlineLevel="6">
      <c r="A170" s="36" t="s">
        <v>689</v>
      </c>
      <c r="B170" s="37" t="s">
        <v>2</v>
      </c>
      <c r="C170" s="37" t="s">
        <v>66</v>
      </c>
      <c r="D170" s="37" t="s">
        <v>956</v>
      </c>
      <c r="E170" s="37" t="s">
        <v>17</v>
      </c>
      <c r="F170" s="13">
        <f>'Приложение_7 '!G328</f>
        <v>1455247.98</v>
      </c>
      <c r="G170" s="2"/>
      <c r="I170" s="13"/>
      <c r="J170" s="2"/>
      <c r="L170" s="69"/>
      <c r="M170" s="69"/>
    </row>
    <row r="171" spans="1:13" ht="31.5" outlineLevel="3">
      <c r="A171" s="42" t="s">
        <v>617</v>
      </c>
      <c r="B171" s="43" t="s">
        <v>2</v>
      </c>
      <c r="C171" s="43" t="s">
        <v>66</v>
      </c>
      <c r="D171" s="43" t="s">
        <v>77</v>
      </c>
      <c r="E171" s="43" t="s">
        <v>1</v>
      </c>
      <c r="F171" s="12">
        <f>F172</f>
        <v>287000</v>
      </c>
      <c r="G171" s="1"/>
      <c r="I171" s="12">
        <v>287000</v>
      </c>
      <c r="J171" s="1"/>
      <c r="L171" s="69">
        <f t="shared" si="4"/>
        <v>0</v>
      </c>
      <c r="M171" s="69">
        <f t="shared" si="5"/>
        <v>0</v>
      </c>
    </row>
    <row r="172" spans="1:13" ht="63" outlineLevel="4">
      <c r="A172" s="19" t="s">
        <v>502</v>
      </c>
      <c r="B172" s="20" t="s">
        <v>2</v>
      </c>
      <c r="C172" s="20" t="s">
        <v>66</v>
      </c>
      <c r="D172" s="20" t="s">
        <v>78</v>
      </c>
      <c r="E172" s="20" t="s">
        <v>1</v>
      </c>
      <c r="F172" s="13">
        <f>F173</f>
        <v>287000</v>
      </c>
      <c r="G172" s="2"/>
      <c r="I172" s="13">
        <v>287000</v>
      </c>
      <c r="J172" s="2"/>
      <c r="L172" s="69">
        <f t="shared" si="4"/>
        <v>0</v>
      </c>
      <c r="M172" s="69">
        <f t="shared" si="5"/>
        <v>0</v>
      </c>
    </row>
    <row r="173" spans="1:13" ht="31.5" outlineLevel="5">
      <c r="A173" s="19" t="s">
        <v>441</v>
      </c>
      <c r="B173" s="20" t="s">
        <v>2</v>
      </c>
      <c r="C173" s="20" t="s">
        <v>66</v>
      </c>
      <c r="D173" s="20" t="s">
        <v>79</v>
      </c>
      <c r="E173" s="20" t="s">
        <v>1</v>
      </c>
      <c r="F173" s="13">
        <f>F174</f>
        <v>287000</v>
      </c>
      <c r="G173" s="2"/>
      <c r="I173" s="13">
        <v>287000</v>
      </c>
      <c r="J173" s="2"/>
      <c r="L173" s="69">
        <f t="shared" si="4"/>
        <v>0</v>
      </c>
      <c r="M173" s="69">
        <f t="shared" si="5"/>
        <v>0</v>
      </c>
    </row>
    <row r="174" spans="1:13" ht="31.5" outlineLevel="6">
      <c r="A174" s="19" t="s">
        <v>689</v>
      </c>
      <c r="B174" s="20" t="s">
        <v>2</v>
      </c>
      <c r="C174" s="20" t="s">
        <v>66</v>
      </c>
      <c r="D174" s="20" t="s">
        <v>79</v>
      </c>
      <c r="E174" s="20" t="s">
        <v>17</v>
      </c>
      <c r="F174" s="13">
        <f>'Приложение_7 '!G332</f>
        <v>287000</v>
      </c>
      <c r="G174" s="2"/>
      <c r="I174" s="13">
        <v>287000</v>
      </c>
      <c r="J174" s="2"/>
      <c r="L174" s="69">
        <f t="shared" si="4"/>
        <v>0</v>
      </c>
      <c r="M174" s="69">
        <f t="shared" si="5"/>
        <v>0</v>
      </c>
    </row>
    <row r="175" spans="1:13" ht="47.25" outlineLevel="2">
      <c r="A175" s="42" t="s">
        <v>618</v>
      </c>
      <c r="B175" s="43" t="s">
        <v>2</v>
      </c>
      <c r="C175" s="43" t="s">
        <v>66</v>
      </c>
      <c r="D175" s="43" t="s">
        <v>80</v>
      </c>
      <c r="E175" s="43" t="s">
        <v>1</v>
      </c>
      <c r="F175" s="12">
        <f>F176</f>
        <v>385000</v>
      </c>
      <c r="G175" s="1"/>
      <c r="I175" s="12">
        <v>200000</v>
      </c>
      <c r="J175" s="1"/>
      <c r="L175" s="69">
        <f t="shared" si="4"/>
        <v>185000</v>
      </c>
      <c r="M175" s="69">
        <f t="shared" si="5"/>
        <v>0</v>
      </c>
    </row>
    <row r="176" spans="1:13" ht="110.25" outlineLevel="4">
      <c r="A176" s="19" t="s">
        <v>503</v>
      </c>
      <c r="B176" s="20" t="s">
        <v>2</v>
      </c>
      <c r="C176" s="20" t="s">
        <v>66</v>
      </c>
      <c r="D176" s="20" t="s">
        <v>81</v>
      </c>
      <c r="E176" s="20" t="s">
        <v>1</v>
      </c>
      <c r="F176" s="13">
        <f>F177</f>
        <v>385000</v>
      </c>
      <c r="G176" s="2"/>
      <c r="I176" s="13">
        <v>200000</v>
      </c>
      <c r="J176" s="2"/>
      <c r="L176" s="69">
        <f t="shared" si="4"/>
        <v>185000</v>
      </c>
      <c r="M176" s="69">
        <f t="shared" si="5"/>
        <v>0</v>
      </c>
    </row>
    <row r="177" spans="1:13" ht="31.5" outlineLevel="5">
      <c r="A177" s="19" t="s">
        <v>441</v>
      </c>
      <c r="B177" s="20" t="s">
        <v>2</v>
      </c>
      <c r="C177" s="20" t="s">
        <v>66</v>
      </c>
      <c r="D177" s="20" t="s">
        <v>82</v>
      </c>
      <c r="E177" s="20" t="s">
        <v>1</v>
      </c>
      <c r="F177" s="13">
        <f>F178</f>
        <v>385000</v>
      </c>
      <c r="G177" s="2"/>
      <c r="I177" s="13">
        <v>200000</v>
      </c>
      <c r="J177" s="2"/>
      <c r="L177" s="69">
        <f t="shared" si="4"/>
        <v>185000</v>
      </c>
      <c r="M177" s="69">
        <f t="shared" si="5"/>
        <v>0</v>
      </c>
    </row>
    <row r="178" spans="1:13" ht="31.5" outlineLevel="6">
      <c r="A178" s="19" t="s">
        <v>689</v>
      </c>
      <c r="B178" s="20" t="s">
        <v>2</v>
      </c>
      <c r="C178" s="20" t="s">
        <v>66</v>
      </c>
      <c r="D178" s="20" t="s">
        <v>82</v>
      </c>
      <c r="E178" s="20" t="s">
        <v>17</v>
      </c>
      <c r="F178" s="13">
        <f>'Приложение_7 '!G117</f>
        <v>385000</v>
      </c>
      <c r="G178" s="2"/>
      <c r="I178" s="13">
        <v>200000</v>
      </c>
      <c r="J178" s="2"/>
      <c r="L178" s="69">
        <f t="shared" si="4"/>
        <v>185000</v>
      </c>
      <c r="M178" s="69">
        <f t="shared" si="5"/>
        <v>0</v>
      </c>
    </row>
    <row r="179" spans="1:13" ht="63" outlineLevel="2">
      <c r="A179" s="42" t="s">
        <v>619</v>
      </c>
      <c r="B179" s="43" t="s">
        <v>2</v>
      </c>
      <c r="C179" s="43" t="s">
        <v>66</v>
      </c>
      <c r="D179" s="43" t="s">
        <v>83</v>
      </c>
      <c r="E179" s="43" t="s">
        <v>1</v>
      </c>
      <c r="F179" s="12">
        <f>F180+F183+F186</f>
        <v>150500</v>
      </c>
      <c r="G179" s="1"/>
      <c r="I179" s="12">
        <v>198000</v>
      </c>
      <c r="J179" s="1"/>
      <c r="L179" s="69">
        <f t="shared" si="4"/>
        <v>-47500</v>
      </c>
      <c r="M179" s="69">
        <f t="shared" si="5"/>
        <v>0</v>
      </c>
    </row>
    <row r="180" spans="1:13" ht="31.5" outlineLevel="4">
      <c r="A180" s="19" t="s">
        <v>504</v>
      </c>
      <c r="B180" s="20" t="s">
        <v>2</v>
      </c>
      <c r="C180" s="20" t="s">
        <v>66</v>
      </c>
      <c r="D180" s="20" t="s">
        <v>84</v>
      </c>
      <c r="E180" s="20" t="s">
        <v>1</v>
      </c>
      <c r="F180" s="13">
        <f>F181</f>
        <v>50500</v>
      </c>
      <c r="G180" s="2"/>
      <c r="I180" s="13">
        <v>50500</v>
      </c>
      <c r="J180" s="2"/>
      <c r="L180" s="69">
        <f t="shared" si="4"/>
        <v>0</v>
      </c>
      <c r="M180" s="69">
        <f t="shared" si="5"/>
        <v>0</v>
      </c>
    </row>
    <row r="181" spans="1:13" ht="31.5" outlineLevel="5">
      <c r="A181" s="19" t="s">
        <v>441</v>
      </c>
      <c r="B181" s="20" t="s">
        <v>2</v>
      </c>
      <c r="C181" s="20" t="s">
        <v>66</v>
      </c>
      <c r="D181" s="20" t="s">
        <v>85</v>
      </c>
      <c r="E181" s="20" t="s">
        <v>1</v>
      </c>
      <c r="F181" s="13">
        <f>F182</f>
        <v>50500</v>
      </c>
      <c r="G181" s="2"/>
      <c r="I181" s="13">
        <v>50500</v>
      </c>
      <c r="J181" s="2"/>
      <c r="L181" s="69">
        <f t="shared" si="4"/>
        <v>0</v>
      </c>
      <c r="M181" s="69">
        <f t="shared" si="5"/>
        <v>0</v>
      </c>
    </row>
    <row r="182" spans="1:13" ht="31.5" outlineLevel="6">
      <c r="A182" s="19" t="s">
        <v>689</v>
      </c>
      <c r="B182" s="20" t="s">
        <v>2</v>
      </c>
      <c r="C182" s="20" t="s">
        <v>66</v>
      </c>
      <c r="D182" s="20" t="s">
        <v>85</v>
      </c>
      <c r="E182" s="20" t="s">
        <v>17</v>
      </c>
      <c r="F182" s="13">
        <f>'Приложение_7 '!G336</f>
        <v>50500</v>
      </c>
      <c r="G182" s="2"/>
      <c r="I182" s="13">
        <v>50500</v>
      </c>
      <c r="J182" s="2"/>
      <c r="L182" s="69">
        <f t="shared" si="4"/>
        <v>0</v>
      </c>
      <c r="M182" s="69">
        <f t="shared" si="5"/>
        <v>0</v>
      </c>
    </row>
    <row r="183" spans="1:13" ht="31.5" outlineLevel="4">
      <c r="A183" s="19" t="s">
        <v>505</v>
      </c>
      <c r="B183" s="20" t="s">
        <v>2</v>
      </c>
      <c r="C183" s="20" t="s">
        <v>66</v>
      </c>
      <c r="D183" s="20" t="s">
        <v>86</v>
      </c>
      <c r="E183" s="20" t="s">
        <v>1</v>
      </c>
      <c r="F183" s="13">
        <f>F184</f>
        <v>100000</v>
      </c>
      <c r="G183" s="2"/>
      <c r="I183" s="13">
        <v>100000</v>
      </c>
      <c r="J183" s="2"/>
      <c r="L183" s="69">
        <f t="shared" si="4"/>
        <v>0</v>
      </c>
      <c r="M183" s="69">
        <f t="shared" si="5"/>
        <v>0</v>
      </c>
    </row>
    <row r="184" spans="1:13" ht="31.5" outlineLevel="5">
      <c r="A184" s="19" t="s">
        <v>441</v>
      </c>
      <c r="B184" s="20" t="s">
        <v>2</v>
      </c>
      <c r="C184" s="20" t="s">
        <v>66</v>
      </c>
      <c r="D184" s="20" t="s">
        <v>87</v>
      </c>
      <c r="E184" s="20" t="s">
        <v>1</v>
      </c>
      <c r="F184" s="13">
        <f>F185</f>
        <v>100000</v>
      </c>
      <c r="G184" s="2"/>
      <c r="I184" s="13">
        <v>100000</v>
      </c>
      <c r="J184" s="2"/>
      <c r="L184" s="69">
        <f t="shared" si="4"/>
        <v>0</v>
      </c>
      <c r="M184" s="69">
        <f t="shared" si="5"/>
        <v>0</v>
      </c>
    </row>
    <row r="185" spans="1:13" ht="31.5" outlineLevel="6">
      <c r="A185" s="19" t="s">
        <v>689</v>
      </c>
      <c r="B185" s="20" t="s">
        <v>2</v>
      </c>
      <c r="C185" s="20" t="s">
        <v>66</v>
      </c>
      <c r="D185" s="20" t="s">
        <v>87</v>
      </c>
      <c r="E185" s="20" t="s">
        <v>17</v>
      </c>
      <c r="F185" s="13">
        <f>'Приложение_7 '!G339</f>
        <v>100000</v>
      </c>
      <c r="G185" s="2"/>
      <c r="I185" s="13">
        <v>100000</v>
      </c>
      <c r="J185" s="2"/>
      <c r="L185" s="69">
        <f t="shared" si="4"/>
        <v>0</v>
      </c>
      <c r="M185" s="69">
        <f t="shared" si="5"/>
        <v>0</v>
      </c>
    </row>
    <row r="186" spans="1:13" ht="63" hidden="1" outlineLevel="4">
      <c r="A186" s="19" t="s">
        <v>506</v>
      </c>
      <c r="B186" s="20" t="s">
        <v>2</v>
      </c>
      <c r="C186" s="20" t="s">
        <v>66</v>
      </c>
      <c r="D186" s="20" t="s">
        <v>88</v>
      </c>
      <c r="E186" s="20" t="s">
        <v>1</v>
      </c>
      <c r="F186" s="13">
        <f>F187</f>
        <v>0</v>
      </c>
      <c r="G186" s="2"/>
      <c r="I186" s="13">
        <v>47500</v>
      </c>
      <c r="J186" s="2"/>
      <c r="L186" s="69">
        <f t="shared" si="4"/>
        <v>-47500</v>
      </c>
      <c r="M186" s="69">
        <f t="shared" si="5"/>
        <v>0</v>
      </c>
    </row>
    <row r="187" spans="1:13" ht="31.5" hidden="1" outlineLevel="5">
      <c r="A187" s="19" t="s">
        <v>441</v>
      </c>
      <c r="B187" s="20" t="s">
        <v>2</v>
      </c>
      <c r="C187" s="20" t="s">
        <v>66</v>
      </c>
      <c r="D187" s="20" t="s">
        <v>89</v>
      </c>
      <c r="E187" s="20" t="s">
        <v>1</v>
      </c>
      <c r="F187" s="13">
        <f>F188</f>
        <v>0</v>
      </c>
      <c r="G187" s="2"/>
      <c r="I187" s="13">
        <v>47500</v>
      </c>
      <c r="J187" s="2"/>
      <c r="L187" s="69">
        <f t="shared" si="4"/>
        <v>-47500</v>
      </c>
      <c r="M187" s="69">
        <f t="shared" si="5"/>
        <v>0</v>
      </c>
    </row>
    <row r="188" spans="1:13" ht="29.25" customHeight="1" hidden="1" outlineLevel="6">
      <c r="A188" s="19" t="s">
        <v>691</v>
      </c>
      <c r="B188" s="20" t="s">
        <v>2</v>
      </c>
      <c r="C188" s="20" t="s">
        <v>66</v>
      </c>
      <c r="D188" s="20" t="s">
        <v>89</v>
      </c>
      <c r="E188" s="20" t="s">
        <v>65</v>
      </c>
      <c r="F188" s="13">
        <f>'Приложение_7 '!G121</f>
        <v>0</v>
      </c>
      <c r="G188" s="2"/>
      <c r="I188" s="13">
        <v>47500</v>
      </c>
      <c r="J188" s="2"/>
      <c r="L188" s="69">
        <f t="shared" si="4"/>
        <v>-47500</v>
      </c>
      <c r="M188" s="69">
        <f t="shared" si="5"/>
        <v>0</v>
      </c>
    </row>
    <row r="189" spans="1:13" ht="31.5" outlineLevel="2" collapsed="1">
      <c r="A189" s="42" t="s">
        <v>655</v>
      </c>
      <c r="B189" s="43" t="s">
        <v>2</v>
      </c>
      <c r="C189" s="43" t="s">
        <v>66</v>
      </c>
      <c r="D189" s="43" t="s">
        <v>90</v>
      </c>
      <c r="E189" s="43" t="s">
        <v>1</v>
      </c>
      <c r="F189" s="12">
        <f>F190+F214</f>
        <v>28280445.79</v>
      </c>
      <c r="G189" s="12">
        <f>G190+G214</f>
        <v>13042</v>
      </c>
      <c r="I189" s="12">
        <v>26883986.99</v>
      </c>
      <c r="J189" s="1">
        <f>J190</f>
        <v>13042</v>
      </c>
      <c r="L189" s="69">
        <f t="shared" si="4"/>
        <v>1396458.8000000007</v>
      </c>
      <c r="M189" s="69">
        <f t="shared" si="5"/>
        <v>0</v>
      </c>
    </row>
    <row r="190" spans="1:13" ht="47.25" outlineLevel="3">
      <c r="A190" s="42" t="s">
        <v>620</v>
      </c>
      <c r="B190" s="43" t="s">
        <v>2</v>
      </c>
      <c r="C190" s="43" t="s">
        <v>66</v>
      </c>
      <c r="D190" s="43" t="s">
        <v>91</v>
      </c>
      <c r="E190" s="43" t="s">
        <v>1</v>
      </c>
      <c r="F190" s="12">
        <f>F191+F194+F201+F204+F208+F211</f>
        <v>7214316.790000001</v>
      </c>
      <c r="G190" s="12">
        <f>G191+G194+G201+G204+G208+G211</f>
        <v>13042</v>
      </c>
      <c r="I190" s="12">
        <v>5817857.99</v>
      </c>
      <c r="J190" s="1">
        <f>J194</f>
        <v>13042</v>
      </c>
      <c r="L190" s="69">
        <f t="shared" si="4"/>
        <v>1396458.8000000007</v>
      </c>
      <c r="M190" s="69">
        <f t="shared" si="5"/>
        <v>0</v>
      </c>
    </row>
    <row r="191" spans="1:13" ht="47.25" outlineLevel="4">
      <c r="A191" s="19" t="s">
        <v>507</v>
      </c>
      <c r="B191" s="20" t="s">
        <v>2</v>
      </c>
      <c r="C191" s="20" t="s">
        <v>66</v>
      </c>
      <c r="D191" s="20" t="s">
        <v>92</v>
      </c>
      <c r="E191" s="20" t="s">
        <v>1</v>
      </c>
      <c r="F191" s="13">
        <f>F192</f>
        <v>60000</v>
      </c>
      <c r="G191" s="2"/>
      <c r="I191" s="13">
        <v>95963</v>
      </c>
      <c r="J191" s="2"/>
      <c r="L191" s="69">
        <f t="shared" si="4"/>
        <v>-35963</v>
      </c>
      <c r="M191" s="69">
        <f t="shared" si="5"/>
        <v>0</v>
      </c>
    </row>
    <row r="192" spans="1:13" ht="31.5" outlineLevel="5">
      <c r="A192" s="19" t="s">
        <v>441</v>
      </c>
      <c r="B192" s="20" t="s">
        <v>2</v>
      </c>
      <c r="C192" s="20" t="s">
        <v>66</v>
      </c>
      <c r="D192" s="20" t="s">
        <v>93</v>
      </c>
      <c r="E192" s="20" t="s">
        <v>1</v>
      </c>
      <c r="F192" s="13">
        <f>F193</f>
        <v>60000</v>
      </c>
      <c r="G192" s="2"/>
      <c r="I192" s="13">
        <v>95963</v>
      </c>
      <c r="J192" s="2"/>
      <c r="L192" s="69">
        <f t="shared" si="4"/>
        <v>-35963</v>
      </c>
      <c r="M192" s="69">
        <f t="shared" si="5"/>
        <v>0</v>
      </c>
    </row>
    <row r="193" spans="1:13" ht="31.5" outlineLevel="6">
      <c r="A193" s="19" t="s">
        <v>689</v>
      </c>
      <c r="B193" s="20" t="s">
        <v>2</v>
      </c>
      <c r="C193" s="20" t="s">
        <v>66</v>
      </c>
      <c r="D193" s="20" t="s">
        <v>93</v>
      </c>
      <c r="E193" s="20" t="s">
        <v>17</v>
      </c>
      <c r="F193" s="13">
        <f>'Приложение_7 '!G56+'Приложение_7 '!G1122</f>
        <v>60000</v>
      </c>
      <c r="G193" s="2"/>
      <c r="I193" s="13">
        <v>95963</v>
      </c>
      <c r="J193" s="2"/>
      <c r="L193" s="69">
        <f t="shared" si="4"/>
        <v>-35963</v>
      </c>
      <c r="M193" s="69">
        <f t="shared" si="5"/>
        <v>0</v>
      </c>
    </row>
    <row r="194" spans="1:13" ht="31.5" outlineLevel="4">
      <c r="A194" s="19" t="s">
        <v>508</v>
      </c>
      <c r="B194" s="20" t="s">
        <v>2</v>
      </c>
      <c r="C194" s="20" t="s">
        <v>66</v>
      </c>
      <c r="D194" s="20" t="s">
        <v>94</v>
      </c>
      <c r="E194" s="20" t="s">
        <v>1</v>
      </c>
      <c r="F194" s="13">
        <f>F195+F197+F199</f>
        <v>2768042.52</v>
      </c>
      <c r="G194" s="13">
        <f>G195+G197+G199</f>
        <v>13042</v>
      </c>
      <c r="I194" s="13">
        <v>3567771.47</v>
      </c>
      <c r="J194" s="2">
        <f>J197</f>
        <v>13042</v>
      </c>
      <c r="L194" s="69">
        <f t="shared" si="4"/>
        <v>-799728.9500000002</v>
      </c>
      <c r="M194" s="69">
        <f t="shared" si="5"/>
        <v>0</v>
      </c>
    </row>
    <row r="195" spans="1:13" ht="31.5" outlineLevel="5">
      <c r="A195" s="19" t="s">
        <v>441</v>
      </c>
      <c r="B195" s="20" t="s">
        <v>2</v>
      </c>
      <c r="C195" s="20" t="s">
        <v>66</v>
      </c>
      <c r="D195" s="20" t="s">
        <v>95</v>
      </c>
      <c r="E195" s="20" t="s">
        <v>1</v>
      </c>
      <c r="F195" s="13">
        <f>F196</f>
        <v>2754314.74</v>
      </c>
      <c r="G195" s="2"/>
      <c r="I195" s="13">
        <v>3553079.47</v>
      </c>
      <c r="J195" s="2"/>
      <c r="L195" s="69">
        <f t="shared" si="4"/>
        <v>-798764.73</v>
      </c>
      <c r="M195" s="69">
        <f t="shared" si="5"/>
        <v>0</v>
      </c>
    </row>
    <row r="196" spans="1:13" ht="31.5" outlineLevel="6">
      <c r="A196" s="19" t="s">
        <v>689</v>
      </c>
      <c r="B196" s="20" t="s">
        <v>2</v>
      </c>
      <c r="C196" s="20" t="s">
        <v>66</v>
      </c>
      <c r="D196" s="20" t="s">
        <v>95</v>
      </c>
      <c r="E196" s="20" t="s">
        <v>17</v>
      </c>
      <c r="F196" s="13">
        <f>'Приложение_7 '!G59+'Приложение_7 '!G126+'Приложение_7 '!G344+'Приложение_7 '!G614+'Приложение_7 '!G682+'Приложение_7 '!G929+'Приложение_7 '!G1125</f>
        <v>2754314.74</v>
      </c>
      <c r="G196" s="2"/>
      <c r="I196" s="13">
        <v>3553079.47</v>
      </c>
      <c r="J196" s="2"/>
      <c r="L196" s="69">
        <f t="shared" si="4"/>
        <v>-798764.73</v>
      </c>
      <c r="M196" s="69">
        <f t="shared" si="5"/>
        <v>0</v>
      </c>
    </row>
    <row r="197" spans="1:13" ht="63" outlineLevel="5">
      <c r="A197" s="19" t="s">
        <v>442</v>
      </c>
      <c r="B197" s="20" t="s">
        <v>2</v>
      </c>
      <c r="C197" s="20" t="s">
        <v>66</v>
      </c>
      <c r="D197" s="20" t="s">
        <v>96</v>
      </c>
      <c r="E197" s="20" t="s">
        <v>1</v>
      </c>
      <c r="F197" s="13">
        <f>F198</f>
        <v>13042</v>
      </c>
      <c r="G197" s="13">
        <f>G198</f>
        <v>13042</v>
      </c>
      <c r="I197" s="13">
        <v>13042</v>
      </c>
      <c r="J197" s="2">
        <f>I197</f>
        <v>13042</v>
      </c>
      <c r="L197" s="69">
        <f t="shared" si="4"/>
        <v>0</v>
      </c>
      <c r="M197" s="69">
        <f t="shared" si="5"/>
        <v>0</v>
      </c>
    </row>
    <row r="198" spans="1:13" ht="31.5" outlineLevel="6">
      <c r="A198" s="19" t="s">
        <v>689</v>
      </c>
      <c r="B198" s="20" t="s">
        <v>2</v>
      </c>
      <c r="C198" s="20" t="s">
        <v>66</v>
      </c>
      <c r="D198" s="20" t="s">
        <v>96</v>
      </c>
      <c r="E198" s="20" t="s">
        <v>17</v>
      </c>
      <c r="F198" s="13">
        <f>'Приложение_7 '!G128</f>
        <v>13042</v>
      </c>
      <c r="G198" s="2">
        <f>F198</f>
        <v>13042</v>
      </c>
      <c r="I198" s="13">
        <v>13042</v>
      </c>
      <c r="J198" s="2">
        <f>I198</f>
        <v>13042</v>
      </c>
      <c r="L198" s="69">
        <f t="shared" si="4"/>
        <v>0</v>
      </c>
      <c r="M198" s="69">
        <f t="shared" si="5"/>
        <v>0</v>
      </c>
    </row>
    <row r="199" spans="1:13" ht="63" outlineLevel="5">
      <c r="A199" s="19" t="s">
        <v>442</v>
      </c>
      <c r="B199" s="20" t="s">
        <v>2</v>
      </c>
      <c r="C199" s="20" t="s">
        <v>66</v>
      </c>
      <c r="D199" s="20" t="s">
        <v>97</v>
      </c>
      <c r="E199" s="20" t="s">
        <v>1</v>
      </c>
      <c r="F199" s="13">
        <f>F200</f>
        <v>685.78</v>
      </c>
      <c r="G199" s="2"/>
      <c r="I199" s="13">
        <v>1650</v>
      </c>
      <c r="J199" s="2"/>
      <c r="L199" s="69">
        <f t="shared" si="4"/>
        <v>-964.22</v>
      </c>
      <c r="M199" s="69">
        <f t="shared" si="5"/>
        <v>0</v>
      </c>
    </row>
    <row r="200" spans="1:13" ht="31.5" outlineLevel="6">
      <c r="A200" s="19" t="s">
        <v>689</v>
      </c>
      <c r="B200" s="20" t="s">
        <v>2</v>
      </c>
      <c r="C200" s="20" t="s">
        <v>66</v>
      </c>
      <c r="D200" s="20" t="s">
        <v>97</v>
      </c>
      <c r="E200" s="20" t="s">
        <v>17</v>
      </c>
      <c r="F200" s="13">
        <f>'Приложение_7 '!G130</f>
        <v>685.78</v>
      </c>
      <c r="G200" s="2"/>
      <c r="I200" s="13">
        <v>1650</v>
      </c>
      <c r="J200" s="2"/>
      <c r="L200" s="69">
        <f t="shared" si="4"/>
        <v>-964.22</v>
      </c>
      <c r="M200" s="69">
        <f t="shared" si="5"/>
        <v>0</v>
      </c>
    </row>
    <row r="201" spans="1:13" ht="47.25" outlineLevel="4">
      <c r="A201" s="19" t="s">
        <v>509</v>
      </c>
      <c r="B201" s="20" t="s">
        <v>2</v>
      </c>
      <c r="C201" s="20" t="s">
        <v>66</v>
      </c>
      <c r="D201" s="20" t="s">
        <v>98</v>
      </c>
      <c r="E201" s="20" t="s">
        <v>1</v>
      </c>
      <c r="F201" s="13">
        <f>F202</f>
        <v>5000</v>
      </c>
      <c r="G201" s="2"/>
      <c r="I201" s="13">
        <v>14000</v>
      </c>
      <c r="J201" s="2"/>
      <c r="L201" s="69">
        <f t="shared" si="4"/>
        <v>-9000</v>
      </c>
      <c r="M201" s="69">
        <f t="shared" si="5"/>
        <v>0</v>
      </c>
    </row>
    <row r="202" spans="1:13" ht="31.5" outlineLevel="5">
      <c r="A202" s="19" t="s">
        <v>441</v>
      </c>
      <c r="B202" s="20" t="s">
        <v>2</v>
      </c>
      <c r="C202" s="20" t="s">
        <v>66</v>
      </c>
      <c r="D202" s="20" t="s">
        <v>99</v>
      </c>
      <c r="E202" s="20" t="s">
        <v>1</v>
      </c>
      <c r="F202" s="13">
        <f>F203</f>
        <v>5000</v>
      </c>
      <c r="G202" s="2"/>
      <c r="I202" s="13">
        <v>14000</v>
      </c>
      <c r="J202" s="2"/>
      <c r="L202" s="69">
        <f t="shared" si="4"/>
        <v>-9000</v>
      </c>
      <c r="M202" s="69">
        <f t="shared" si="5"/>
        <v>0</v>
      </c>
    </row>
    <row r="203" spans="1:13" ht="31.5" outlineLevel="6">
      <c r="A203" s="19" t="s">
        <v>689</v>
      </c>
      <c r="B203" s="20" t="s">
        <v>2</v>
      </c>
      <c r="C203" s="20" t="s">
        <v>66</v>
      </c>
      <c r="D203" s="20" t="s">
        <v>99</v>
      </c>
      <c r="E203" s="20" t="s">
        <v>17</v>
      </c>
      <c r="F203" s="13">
        <f>'Приложение_7 '!G133</f>
        <v>5000</v>
      </c>
      <c r="G203" s="2"/>
      <c r="I203" s="13">
        <v>14000</v>
      </c>
      <c r="J203" s="2"/>
      <c r="L203" s="69">
        <f t="shared" si="4"/>
        <v>-9000</v>
      </c>
      <c r="M203" s="69">
        <f t="shared" si="5"/>
        <v>0</v>
      </c>
    </row>
    <row r="204" spans="1:13" ht="31.5" outlineLevel="4">
      <c r="A204" s="19" t="s">
        <v>510</v>
      </c>
      <c r="B204" s="20" t="s">
        <v>2</v>
      </c>
      <c r="C204" s="20" t="s">
        <v>66</v>
      </c>
      <c r="D204" s="20" t="s">
        <v>100</v>
      </c>
      <c r="E204" s="20" t="s">
        <v>1</v>
      </c>
      <c r="F204" s="13">
        <f>F205</f>
        <v>3924224.2700000005</v>
      </c>
      <c r="G204" s="2"/>
      <c r="I204" s="13">
        <v>1777733.52</v>
      </c>
      <c r="J204" s="2"/>
      <c r="L204" s="69">
        <f t="shared" si="4"/>
        <v>2146490.7500000005</v>
      </c>
      <c r="M204" s="69">
        <f t="shared" si="5"/>
        <v>0</v>
      </c>
    </row>
    <row r="205" spans="1:13" ht="31.5" outlineLevel="5">
      <c r="A205" s="19" t="s">
        <v>441</v>
      </c>
      <c r="B205" s="20" t="s">
        <v>2</v>
      </c>
      <c r="C205" s="20" t="s">
        <v>66</v>
      </c>
      <c r="D205" s="20" t="s">
        <v>101</v>
      </c>
      <c r="E205" s="20" t="s">
        <v>1</v>
      </c>
      <c r="F205" s="13">
        <f>F206+F207</f>
        <v>3924224.2700000005</v>
      </c>
      <c r="G205" s="2"/>
      <c r="I205" s="13">
        <v>1777733.52</v>
      </c>
      <c r="J205" s="2"/>
      <c r="L205" s="69">
        <f t="shared" si="4"/>
        <v>2146490.7500000005</v>
      </c>
      <c r="M205" s="69">
        <f t="shared" si="5"/>
        <v>0</v>
      </c>
    </row>
    <row r="206" spans="1:13" ht="31.5" outlineLevel="6">
      <c r="A206" s="19" t="s">
        <v>689</v>
      </c>
      <c r="B206" s="20" t="s">
        <v>2</v>
      </c>
      <c r="C206" s="20" t="s">
        <v>66</v>
      </c>
      <c r="D206" s="20" t="s">
        <v>101</v>
      </c>
      <c r="E206" s="20" t="s">
        <v>17</v>
      </c>
      <c r="F206" s="13">
        <f>'Приложение_7 '!G136+'Приложение_7 '!G347+'Приложение_7 '!G615</f>
        <v>1593672.99</v>
      </c>
      <c r="G206" s="2"/>
      <c r="I206" s="13">
        <v>1001182.24</v>
      </c>
      <c r="J206" s="2"/>
      <c r="L206" s="69">
        <f t="shared" si="4"/>
        <v>592490.75</v>
      </c>
      <c r="M206" s="69">
        <f t="shared" si="5"/>
        <v>0</v>
      </c>
    </row>
    <row r="207" spans="1:13" ht="31.5" outlineLevel="6">
      <c r="A207" s="19" t="s">
        <v>692</v>
      </c>
      <c r="B207" s="20" t="s">
        <v>2</v>
      </c>
      <c r="C207" s="20" t="s">
        <v>66</v>
      </c>
      <c r="D207" s="20" t="s">
        <v>101</v>
      </c>
      <c r="E207" s="20" t="s">
        <v>70</v>
      </c>
      <c r="F207" s="13">
        <f>'Приложение_7 '!G137</f>
        <v>2330551.2800000003</v>
      </c>
      <c r="G207" s="2"/>
      <c r="I207" s="13">
        <v>776551.28</v>
      </c>
      <c r="J207" s="2"/>
      <c r="L207" s="69">
        <f t="shared" si="4"/>
        <v>1554000.0000000002</v>
      </c>
      <c r="M207" s="69">
        <f t="shared" si="5"/>
        <v>0</v>
      </c>
    </row>
    <row r="208" spans="1:13" ht="15.75" outlineLevel="4">
      <c r="A208" s="19" t="s">
        <v>511</v>
      </c>
      <c r="B208" s="20" t="s">
        <v>2</v>
      </c>
      <c r="C208" s="20" t="s">
        <v>66</v>
      </c>
      <c r="D208" s="20" t="s">
        <v>102</v>
      </c>
      <c r="E208" s="20" t="s">
        <v>1</v>
      </c>
      <c r="F208" s="13">
        <f>F209</f>
        <v>2390</v>
      </c>
      <c r="G208" s="2"/>
      <c r="I208" s="13">
        <v>2390</v>
      </c>
      <c r="J208" s="2"/>
      <c r="L208" s="69">
        <f t="shared" si="4"/>
        <v>0</v>
      </c>
      <c r="M208" s="69">
        <f t="shared" si="5"/>
        <v>0</v>
      </c>
    </row>
    <row r="209" spans="1:13" ht="31.5" outlineLevel="5">
      <c r="A209" s="19" t="s">
        <v>441</v>
      </c>
      <c r="B209" s="20" t="s">
        <v>2</v>
      </c>
      <c r="C209" s="20" t="s">
        <v>66</v>
      </c>
      <c r="D209" s="20" t="s">
        <v>103</v>
      </c>
      <c r="E209" s="20" t="s">
        <v>1</v>
      </c>
      <c r="F209" s="13">
        <f>F210</f>
        <v>2390</v>
      </c>
      <c r="G209" s="2"/>
      <c r="I209" s="13">
        <v>2390</v>
      </c>
      <c r="J209" s="2"/>
      <c r="L209" s="69">
        <f t="shared" si="4"/>
        <v>0</v>
      </c>
      <c r="M209" s="69">
        <f t="shared" si="5"/>
        <v>0</v>
      </c>
    </row>
    <row r="210" spans="1:13" ht="31.5" outlineLevel="6">
      <c r="A210" s="19" t="s">
        <v>689</v>
      </c>
      <c r="B210" s="20" t="s">
        <v>2</v>
      </c>
      <c r="C210" s="20" t="s">
        <v>66</v>
      </c>
      <c r="D210" s="20" t="s">
        <v>103</v>
      </c>
      <c r="E210" s="20" t="s">
        <v>17</v>
      </c>
      <c r="F210" s="13">
        <f>'Приложение_7 '!G140</f>
        <v>2390</v>
      </c>
      <c r="G210" s="2"/>
      <c r="I210" s="13">
        <v>2390</v>
      </c>
      <c r="J210" s="2"/>
      <c r="L210" s="69">
        <f t="shared" si="4"/>
        <v>0</v>
      </c>
      <c r="M210" s="69">
        <f t="shared" si="5"/>
        <v>0</v>
      </c>
    </row>
    <row r="211" spans="1:13" ht="15.75" outlineLevel="4">
      <c r="A211" s="19" t="s">
        <v>512</v>
      </c>
      <c r="B211" s="20" t="s">
        <v>2</v>
      </c>
      <c r="C211" s="20" t="s">
        <v>66</v>
      </c>
      <c r="D211" s="20" t="s">
        <v>104</v>
      </c>
      <c r="E211" s="20" t="s">
        <v>1</v>
      </c>
      <c r="F211" s="13">
        <f>F212</f>
        <v>454660</v>
      </c>
      <c r="G211" s="2"/>
      <c r="I211" s="13">
        <v>360000</v>
      </c>
      <c r="J211" s="2"/>
      <c r="L211" s="69">
        <f t="shared" si="4"/>
        <v>94660</v>
      </c>
      <c r="M211" s="69">
        <f t="shared" si="5"/>
        <v>0</v>
      </c>
    </row>
    <row r="212" spans="1:13" ht="31.5" outlineLevel="5">
      <c r="A212" s="19" t="s">
        <v>441</v>
      </c>
      <c r="B212" s="20" t="s">
        <v>2</v>
      </c>
      <c r="C212" s="20" t="s">
        <v>66</v>
      </c>
      <c r="D212" s="20" t="s">
        <v>105</v>
      </c>
      <c r="E212" s="20" t="s">
        <v>1</v>
      </c>
      <c r="F212" s="13">
        <f>F213</f>
        <v>454660</v>
      </c>
      <c r="G212" s="2"/>
      <c r="I212" s="13">
        <v>360000</v>
      </c>
      <c r="J212" s="2"/>
      <c r="L212" s="69">
        <f t="shared" si="4"/>
        <v>94660</v>
      </c>
      <c r="M212" s="69">
        <f t="shared" si="5"/>
        <v>0</v>
      </c>
    </row>
    <row r="213" spans="1:13" ht="31.5" outlineLevel="6">
      <c r="A213" s="19" t="s">
        <v>689</v>
      </c>
      <c r="B213" s="20" t="s">
        <v>2</v>
      </c>
      <c r="C213" s="20" t="s">
        <v>66</v>
      </c>
      <c r="D213" s="20" t="s">
        <v>105</v>
      </c>
      <c r="E213" s="20" t="s">
        <v>17</v>
      </c>
      <c r="F213" s="13">
        <f>'Приложение_7 '!G143</f>
        <v>454660</v>
      </c>
      <c r="G213" s="2"/>
      <c r="I213" s="13">
        <v>360000</v>
      </c>
      <c r="J213" s="2"/>
      <c r="L213" s="69">
        <f t="shared" si="4"/>
        <v>94660</v>
      </c>
      <c r="M213" s="69">
        <f t="shared" si="5"/>
        <v>0</v>
      </c>
    </row>
    <row r="214" spans="1:13" ht="63" outlineLevel="3">
      <c r="A214" s="42" t="s">
        <v>621</v>
      </c>
      <c r="B214" s="43" t="s">
        <v>2</v>
      </c>
      <c r="C214" s="43" t="s">
        <v>66</v>
      </c>
      <c r="D214" s="43" t="s">
        <v>106</v>
      </c>
      <c r="E214" s="43" t="s">
        <v>1</v>
      </c>
      <c r="F214" s="12">
        <f>F215</f>
        <v>21066129</v>
      </c>
      <c r="G214" s="1"/>
      <c r="I214" s="12">
        <v>21066129</v>
      </c>
      <c r="J214" s="1"/>
      <c r="L214" s="69">
        <f t="shared" si="4"/>
        <v>0</v>
      </c>
      <c r="M214" s="69">
        <f t="shared" si="5"/>
        <v>0</v>
      </c>
    </row>
    <row r="215" spans="1:13" ht="31.5" outlineLevel="4">
      <c r="A215" s="19" t="s">
        <v>513</v>
      </c>
      <c r="B215" s="20" t="s">
        <v>2</v>
      </c>
      <c r="C215" s="20" t="s">
        <v>66</v>
      </c>
      <c r="D215" s="20" t="s">
        <v>107</v>
      </c>
      <c r="E215" s="20" t="s">
        <v>1</v>
      </c>
      <c r="F215" s="13">
        <f>F216+F218</f>
        <v>21066129</v>
      </c>
      <c r="G215" s="2"/>
      <c r="I215" s="13">
        <v>21066129</v>
      </c>
      <c r="J215" s="2"/>
      <c r="L215" s="69">
        <f t="shared" si="4"/>
        <v>0</v>
      </c>
      <c r="M215" s="69">
        <f t="shared" si="5"/>
        <v>0</v>
      </c>
    </row>
    <row r="216" spans="1:13" ht="63" outlineLevel="5">
      <c r="A216" s="19" t="s">
        <v>443</v>
      </c>
      <c r="B216" s="20" t="s">
        <v>2</v>
      </c>
      <c r="C216" s="20" t="s">
        <v>66</v>
      </c>
      <c r="D216" s="20" t="s">
        <v>108</v>
      </c>
      <c r="E216" s="20" t="s">
        <v>1</v>
      </c>
      <c r="F216" s="13">
        <f>F217</f>
        <v>20627809</v>
      </c>
      <c r="G216" s="2"/>
      <c r="I216" s="13">
        <v>20627809</v>
      </c>
      <c r="J216" s="2"/>
      <c r="L216" s="69">
        <f t="shared" si="4"/>
        <v>0</v>
      </c>
      <c r="M216" s="69">
        <f t="shared" si="5"/>
        <v>0</v>
      </c>
    </row>
    <row r="217" spans="1:13" ht="31.5" outlineLevel="6">
      <c r="A217" s="19" t="s">
        <v>692</v>
      </c>
      <c r="B217" s="20" t="s">
        <v>2</v>
      </c>
      <c r="C217" s="20" t="s">
        <v>66</v>
      </c>
      <c r="D217" s="20" t="s">
        <v>108</v>
      </c>
      <c r="E217" s="20" t="s">
        <v>70</v>
      </c>
      <c r="F217" s="13">
        <f>'Приложение_7 '!G147</f>
        <v>20627809</v>
      </c>
      <c r="G217" s="2"/>
      <c r="I217" s="13">
        <v>20627809</v>
      </c>
      <c r="J217" s="2"/>
      <c r="L217" s="69">
        <f t="shared" si="4"/>
        <v>0</v>
      </c>
      <c r="M217" s="69">
        <f t="shared" si="5"/>
        <v>0</v>
      </c>
    </row>
    <row r="218" spans="1:13" ht="63" outlineLevel="5">
      <c r="A218" s="19" t="s">
        <v>432</v>
      </c>
      <c r="B218" s="20" t="s">
        <v>2</v>
      </c>
      <c r="C218" s="20" t="s">
        <v>66</v>
      </c>
      <c r="D218" s="20" t="s">
        <v>109</v>
      </c>
      <c r="E218" s="20" t="s">
        <v>1</v>
      </c>
      <c r="F218" s="13">
        <f>F219</f>
        <v>438320</v>
      </c>
      <c r="G218" s="2"/>
      <c r="I218" s="13">
        <v>438320</v>
      </c>
      <c r="J218" s="2"/>
      <c r="L218" s="69">
        <f t="shared" si="4"/>
        <v>0</v>
      </c>
      <c r="M218" s="69">
        <f t="shared" si="5"/>
        <v>0</v>
      </c>
    </row>
    <row r="219" spans="1:13" ht="31.5" outlineLevel="6">
      <c r="A219" s="19" t="s">
        <v>692</v>
      </c>
      <c r="B219" s="20" t="s">
        <v>2</v>
      </c>
      <c r="C219" s="20" t="s">
        <v>66</v>
      </c>
      <c r="D219" s="20" t="s">
        <v>109</v>
      </c>
      <c r="E219" s="20" t="s">
        <v>70</v>
      </c>
      <c r="F219" s="13">
        <f>'Приложение_7 '!G149</f>
        <v>438320</v>
      </c>
      <c r="G219" s="2"/>
      <c r="I219" s="13">
        <v>438320</v>
      </c>
      <c r="J219" s="2"/>
      <c r="L219" s="69">
        <f t="shared" si="4"/>
        <v>0</v>
      </c>
      <c r="M219" s="69">
        <f t="shared" si="5"/>
        <v>0</v>
      </c>
    </row>
    <row r="220" spans="1:13" ht="63" outlineLevel="6">
      <c r="A220" s="32" t="s">
        <v>486</v>
      </c>
      <c r="B220" s="33" t="s">
        <v>2</v>
      </c>
      <c r="C220" s="33" t="s">
        <v>66</v>
      </c>
      <c r="D220" s="33" t="s">
        <v>38</v>
      </c>
      <c r="E220" s="33" t="s">
        <v>1</v>
      </c>
      <c r="F220" s="12">
        <f>F221</f>
        <v>425056.14</v>
      </c>
      <c r="G220" s="1"/>
      <c r="I220" s="13"/>
      <c r="J220" s="2"/>
      <c r="L220" s="69"/>
      <c r="M220" s="69"/>
    </row>
    <row r="221" spans="1:13" ht="78.75" outlineLevel="6">
      <c r="A221" s="36" t="s">
        <v>949</v>
      </c>
      <c r="B221" s="37" t="s">
        <v>2</v>
      </c>
      <c r="C221" s="37" t="s">
        <v>66</v>
      </c>
      <c r="D221" s="37" t="s">
        <v>950</v>
      </c>
      <c r="E221" s="37" t="s">
        <v>1</v>
      </c>
      <c r="F221" s="13">
        <f>F222</f>
        <v>425056.14</v>
      </c>
      <c r="G221" s="2"/>
      <c r="I221" s="13"/>
      <c r="J221" s="2"/>
      <c r="L221" s="69"/>
      <c r="M221" s="69"/>
    </row>
    <row r="222" spans="1:13" ht="63" outlineLevel="6">
      <c r="A222" s="36" t="s">
        <v>951</v>
      </c>
      <c r="B222" s="37" t="s">
        <v>2</v>
      </c>
      <c r="C222" s="37" t="s">
        <v>66</v>
      </c>
      <c r="D222" s="37" t="s">
        <v>952</v>
      </c>
      <c r="E222" s="37" t="s">
        <v>1</v>
      </c>
      <c r="F222" s="13">
        <f>F223</f>
        <v>425056.14</v>
      </c>
      <c r="G222" s="2"/>
      <c r="I222" s="13"/>
      <c r="J222" s="2"/>
      <c r="L222" s="69"/>
      <c r="M222" s="69"/>
    </row>
    <row r="223" spans="1:13" ht="63" outlineLevel="6">
      <c r="A223" s="36" t="s">
        <v>443</v>
      </c>
      <c r="B223" s="37" t="s">
        <v>2</v>
      </c>
      <c r="C223" s="37" t="s">
        <v>66</v>
      </c>
      <c r="D223" s="37" t="s">
        <v>953</v>
      </c>
      <c r="E223" s="37" t="s">
        <v>1</v>
      </c>
      <c r="F223" s="13">
        <f>F224+F225+F226</f>
        <v>425056.14</v>
      </c>
      <c r="G223" s="2"/>
      <c r="I223" s="13"/>
      <c r="J223" s="2"/>
      <c r="L223" s="69"/>
      <c r="M223" s="69"/>
    </row>
    <row r="224" spans="1:13" ht="78.75" outlineLevel="6">
      <c r="A224" s="36" t="s">
        <v>704</v>
      </c>
      <c r="B224" s="37" t="s">
        <v>2</v>
      </c>
      <c r="C224" s="37" t="s">
        <v>66</v>
      </c>
      <c r="D224" s="37" t="s">
        <v>953</v>
      </c>
      <c r="E224" s="37" t="s">
        <v>10</v>
      </c>
      <c r="F224" s="13">
        <f>'Приложение_7 '!G622</f>
        <v>261923.14</v>
      </c>
      <c r="G224" s="2"/>
      <c r="I224" s="13"/>
      <c r="J224" s="2"/>
      <c r="L224" s="69"/>
      <c r="M224" s="69"/>
    </row>
    <row r="225" spans="1:13" ht="31.5" outlineLevel="6">
      <c r="A225" s="36" t="s">
        <v>689</v>
      </c>
      <c r="B225" s="37" t="s">
        <v>2</v>
      </c>
      <c r="C225" s="37" t="s">
        <v>66</v>
      </c>
      <c r="D225" s="37" t="s">
        <v>953</v>
      </c>
      <c r="E225" s="37" t="s">
        <v>17</v>
      </c>
      <c r="F225" s="13">
        <f>'Приложение_7 '!G623</f>
        <v>159133</v>
      </c>
      <c r="G225" s="2"/>
      <c r="I225" s="13"/>
      <c r="J225" s="2"/>
      <c r="L225" s="69"/>
      <c r="M225" s="69"/>
    </row>
    <row r="226" spans="1:13" ht="15.75" outlineLevel="6">
      <c r="A226" s="36" t="s">
        <v>691</v>
      </c>
      <c r="B226" s="37" t="s">
        <v>2</v>
      </c>
      <c r="C226" s="37" t="s">
        <v>66</v>
      </c>
      <c r="D226" s="37" t="s">
        <v>953</v>
      </c>
      <c r="E226" s="37" t="s">
        <v>65</v>
      </c>
      <c r="F226" s="13">
        <f>'Приложение_7 '!G624</f>
        <v>4000</v>
      </c>
      <c r="G226" s="2"/>
      <c r="I226" s="13"/>
      <c r="J226" s="2"/>
      <c r="L226" s="69"/>
      <c r="M226" s="69"/>
    </row>
    <row r="227" spans="1:13" s="67" customFormat="1" ht="47.25" outlineLevel="2">
      <c r="A227" s="70" t="s">
        <v>652</v>
      </c>
      <c r="B227" s="71" t="s">
        <v>2</v>
      </c>
      <c r="C227" s="71" t="s">
        <v>66</v>
      </c>
      <c r="D227" s="71" t="s">
        <v>6</v>
      </c>
      <c r="E227" s="71" t="s">
        <v>1</v>
      </c>
      <c r="F227" s="72">
        <f>F228+F235+F239+F246+F268</f>
        <v>70797007.74</v>
      </c>
      <c r="G227" s="72">
        <f>G228+G235+G239+G246+G268</f>
        <v>771000</v>
      </c>
      <c r="I227" s="72">
        <v>69947808.56</v>
      </c>
      <c r="J227" s="73">
        <f>J228</f>
        <v>771000</v>
      </c>
      <c r="L227" s="69">
        <f t="shared" si="4"/>
        <v>849199.1799999923</v>
      </c>
      <c r="M227" s="69">
        <f t="shared" si="5"/>
        <v>0</v>
      </c>
    </row>
    <row r="228" spans="1:13" ht="31.5" outlineLevel="3">
      <c r="A228" s="42" t="s">
        <v>612</v>
      </c>
      <c r="B228" s="43" t="s">
        <v>2</v>
      </c>
      <c r="C228" s="43" t="s">
        <v>66</v>
      </c>
      <c r="D228" s="43" t="s">
        <v>43</v>
      </c>
      <c r="E228" s="43" t="s">
        <v>1</v>
      </c>
      <c r="F228" s="12">
        <f>F229</f>
        <v>771000</v>
      </c>
      <c r="G228" s="12">
        <f>G229</f>
        <v>771000</v>
      </c>
      <c r="I228" s="12">
        <v>771000</v>
      </c>
      <c r="J228" s="12">
        <v>771000</v>
      </c>
      <c r="L228" s="69">
        <f t="shared" si="4"/>
        <v>0</v>
      </c>
      <c r="M228" s="69">
        <f t="shared" si="5"/>
        <v>0</v>
      </c>
    </row>
    <row r="229" spans="1:13" ht="31.5" outlineLevel="4">
      <c r="A229" s="19" t="s">
        <v>514</v>
      </c>
      <c r="B229" s="20" t="s">
        <v>2</v>
      </c>
      <c r="C229" s="20" t="s">
        <v>66</v>
      </c>
      <c r="D229" s="20" t="s">
        <v>110</v>
      </c>
      <c r="E229" s="20" t="s">
        <v>1</v>
      </c>
      <c r="F229" s="13">
        <f>F230+F232</f>
        <v>771000</v>
      </c>
      <c r="G229" s="13">
        <f>G230+G232</f>
        <v>771000</v>
      </c>
      <c r="I229" s="13">
        <v>771000</v>
      </c>
      <c r="J229" s="13">
        <v>771000</v>
      </c>
      <c r="L229" s="69">
        <f t="shared" si="4"/>
        <v>0</v>
      </c>
      <c r="M229" s="69">
        <f t="shared" si="5"/>
        <v>0</v>
      </c>
    </row>
    <row r="230" spans="1:13" ht="126" outlineLevel="5">
      <c r="A230" s="19" t="s">
        <v>444</v>
      </c>
      <c r="B230" s="20" t="s">
        <v>2</v>
      </c>
      <c r="C230" s="20" t="s">
        <v>66</v>
      </c>
      <c r="D230" s="20" t="s">
        <v>111</v>
      </c>
      <c r="E230" s="20" t="s">
        <v>1</v>
      </c>
      <c r="F230" s="13">
        <f>F231</f>
        <v>6000</v>
      </c>
      <c r="G230" s="13">
        <f>G231</f>
        <v>6000</v>
      </c>
      <c r="I230" s="13">
        <v>6000</v>
      </c>
      <c r="J230" s="13">
        <v>6000</v>
      </c>
      <c r="L230" s="69">
        <f t="shared" si="4"/>
        <v>0</v>
      </c>
      <c r="M230" s="69">
        <f t="shared" si="5"/>
        <v>0</v>
      </c>
    </row>
    <row r="231" spans="1:13" ht="31.5" outlineLevel="6">
      <c r="A231" s="19" t="s">
        <v>689</v>
      </c>
      <c r="B231" s="20" t="s">
        <v>2</v>
      </c>
      <c r="C231" s="20" t="s">
        <v>66</v>
      </c>
      <c r="D231" s="20" t="s">
        <v>111</v>
      </c>
      <c r="E231" s="20" t="s">
        <v>17</v>
      </c>
      <c r="F231" s="13">
        <f>'Приложение_7 '!G154</f>
        <v>6000</v>
      </c>
      <c r="G231" s="13">
        <v>6000</v>
      </c>
      <c r="I231" s="13">
        <v>6000</v>
      </c>
      <c r="J231" s="13">
        <v>6000</v>
      </c>
      <c r="L231" s="69">
        <f t="shared" si="4"/>
        <v>0</v>
      </c>
      <c r="M231" s="69">
        <f t="shared" si="5"/>
        <v>0</v>
      </c>
    </row>
    <row r="232" spans="1:13" ht="31.5" outlineLevel="5">
      <c r="A232" s="19" t="s">
        <v>445</v>
      </c>
      <c r="B232" s="20" t="s">
        <v>2</v>
      </c>
      <c r="C232" s="20" t="s">
        <v>66</v>
      </c>
      <c r="D232" s="20" t="s">
        <v>112</v>
      </c>
      <c r="E232" s="20" t="s">
        <v>1</v>
      </c>
      <c r="F232" s="13">
        <f>F233+F234</f>
        <v>765000</v>
      </c>
      <c r="G232" s="13">
        <f>G233+G234</f>
        <v>765000</v>
      </c>
      <c r="I232" s="13">
        <v>765000</v>
      </c>
      <c r="J232" s="13">
        <v>765000</v>
      </c>
      <c r="L232" s="69">
        <f t="shared" si="4"/>
        <v>0</v>
      </c>
      <c r="M232" s="69">
        <f t="shared" si="5"/>
        <v>0</v>
      </c>
    </row>
    <row r="233" spans="1:13" ht="78.75" outlineLevel="6">
      <c r="A233" s="19" t="s">
        <v>704</v>
      </c>
      <c r="B233" s="20" t="s">
        <v>2</v>
      </c>
      <c r="C233" s="20" t="s">
        <v>66</v>
      </c>
      <c r="D233" s="20" t="s">
        <v>112</v>
      </c>
      <c r="E233" s="20" t="s">
        <v>10</v>
      </c>
      <c r="F233" s="13">
        <f>'Приложение_7 '!G156</f>
        <v>698220.45</v>
      </c>
      <c r="G233" s="13">
        <v>698220.45</v>
      </c>
      <c r="I233" s="13">
        <v>698220.45</v>
      </c>
      <c r="J233" s="13">
        <v>698220.45</v>
      </c>
      <c r="L233" s="69">
        <f t="shared" si="4"/>
        <v>0</v>
      </c>
      <c r="M233" s="69">
        <f t="shared" si="5"/>
        <v>0</v>
      </c>
    </row>
    <row r="234" spans="1:13" ht="31.5" outlineLevel="6">
      <c r="A234" s="19" t="s">
        <v>689</v>
      </c>
      <c r="B234" s="20" t="s">
        <v>2</v>
      </c>
      <c r="C234" s="20" t="s">
        <v>66</v>
      </c>
      <c r="D234" s="20" t="s">
        <v>112</v>
      </c>
      <c r="E234" s="20" t="s">
        <v>17</v>
      </c>
      <c r="F234" s="13">
        <f>'Приложение_7 '!G157</f>
        <v>66779.55</v>
      </c>
      <c r="G234" s="13">
        <v>66779.55</v>
      </c>
      <c r="I234" s="13">
        <v>66779.55</v>
      </c>
      <c r="J234" s="13">
        <v>66779.55</v>
      </c>
      <c r="L234" s="69">
        <f t="shared" si="4"/>
        <v>0</v>
      </c>
      <c r="M234" s="69">
        <f t="shared" si="5"/>
        <v>0</v>
      </c>
    </row>
    <row r="235" spans="1:13" ht="47.25" outlineLevel="3">
      <c r="A235" s="42" t="s">
        <v>613</v>
      </c>
      <c r="B235" s="43" t="s">
        <v>2</v>
      </c>
      <c r="C235" s="43" t="s">
        <v>66</v>
      </c>
      <c r="D235" s="43" t="s">
        <v>51</v>
      </c>
      <c r="E235" s="43" t="s">
        <v>1</v>
      </c>
      <c r="F235" s="12">
        <f>F236</f>
        <v>181941.02000000002</v>
      </c>
      <c r="G235" s="1"/>
      <c r="I235" s="12">
        <v>415525.02</v>
      </c>
      <c r="J235" s="1"/>
      <c r="L235" s="69">
        <f aca="true" t="shared" si="6" ref="L235:L307">F235-I235</f>
        <v>-233584</v>
      </c>
      <c r="M235" s="69">
        <f aca="true" t="shared" si="7" ref="M235:M307">G235-J235</f>
        <v>0</v>
      </c>
    </row>
    <row r="236" spans="1:13" ht="63" outlineLevel="4">
      <c r="A236" s="19" t="s">
        <v>515</v>
      </c>
      <c r="B236" s="20" t="s">
        <v>2</v>
      </c>
      <c r="C236" s="20" t="s">
        <v>66</v>
      </c>
      <c r="D236" s="20" t="s">
        <v>113</v>
      </c>
      <c r="E236" s="20" t="s">
        <v>1</v>
      </c>
      <c r="F236" s="13">
        <f>F237</f>
        <v>181941.02000000002</v>
      </c>
      <c r="G236" s="2"/>
      <c r="I236" s="13">
        <v>415525.02</v>
      </c>
      <c r="J236" s="2"/>
      <c r="L236" s="69">
        <f t="shared" si="6"/>
        <v>-233584</v>
      </c>
      <c r="M236" s="69">
        <f t="shared" si="7"/>
        <v>0</v>
      </c>
    </row>
    <row r="237" spans="1:13" ht="47.25" outlineLevel="5">
      <c r="A237" s="19" t="s">
        <v>446</v>
      </c>
      <c r="B237" s="20" t="s">
        <v>2</v>
      </c>
      <c r="C237" s="20" t="s">
        <v>66</v>
      </c>
      <c r="D237" s="20" t="s">
        <v>114</v>
      </c>
      <c r="E237" s="20" t="s">
        <v>1</v>
      </c>
      <c r="F237" s="13">
        <f>F238</f>
        <v>181941.02000000002</v>
      </c>
      <c r="G237" s="2"/>
      <c r="I237" s="13">
        <v>415525.02</v>
      </c>
      <c r="J237" s="2"/>
      <c r="L237" s="69">
        <f t="shared" si="6"/>
        <v>-233584</v>
      </c>
      <c r="M237" s="69">
        <f t="shared" si="7"/>
        <v>0</v>
      </c>
    </row>
    <row r="238" spans="1:13" ht="31.5" outlineLevel="6">
      <c r="A238" s="19" t="s">
        <v>689</v>
      </c>
      <c r="B238" s="20" t="s">
        <v>2</v>
      </c>
      <c r="C238" s="20" t="s">
        <v>66</v>
      </c>
      <c r="D238" s="20" t="s">
        <v>114</v>
      </c>
      <c r="E238" s="20" t="s">
        <v>17</v>
      </c>
      <c r="F238" s="13">
        <f>'Приложение_7 '!G352</f>
        <v>181941.02000000002</v>
      </c>
      <c r="G238" s="2"/>
      <c r="I238" s="13">
        <v>415525.02</v>
      </c>
      <c r="J238" s="2"/>
      <c r="L238" s="69">
        <f t="shared" si="6"/>
        <v>-233584</v>
      </c>
      <c r="M238" s="69">
        <f t="shared" si="7"/>
        <v>0</v>
      </c>
    </row>
    <row r="239" spans="1:13" ht="31.5" outlineLevel="3">
      <c r="A239" s="42" t="s">
        <v>622</v>
      </c>
      <c r="B239" s="43" t="s">
        <v>2</v>
      </c>
      <c r="C239" s="43" t="s">
        <v>66</v>
      </c>
      <c r="D239" s="43" t="s">
        <v>115</v>
      </c>
      <c r="E239" s="43" t="s">
        <v>1</v>
      </c>
      <c r="F239" s="12">
        <f>F240</f>
        <v>8050035.49</v>
      </c>
      <c r="G239" s="1"/>
      <c r="I239" s="12">
        <v>8050035.49</v>
      </c>
      <c r="J239" s="1"/>
      <c r="L239" s="69">
        <f t="shared" si="6"/>
        <v>0</v>
      </c>
      <c r="M239" s="69">
        <f t="shared" si="7"/>
        <v>0</v>
      </c>
    </row>
    <row r="240" spans="1:13" ht="31.5" outlineLevel="4">
      <c r="A240" s="19" t="s">
        <v>516</v>
      </c>
      <c r="B240" s="20" t="s">
        <v>2</v>
      </c>
      <c r="C240" s="20" t="s">
        <v>66</v>
      </c>
      <c r="D240" s="20" t="s">
        <v>116</v>
      </c>
      <c r="E240" s="20" t="s">
        <v>1</v>
      </c>
      <c r="F240" s="13">
        <f>F241+F244</f>
        <v>8050035.49</v>
      </c>
      <c r="G240" s="2"/>
      <c r="I240" s="13">
        <v>8050035.49</v>
      </c>
      <c r="J240" s="2"/>
      <c r="L240" s="69">
        <f t="shared" si="6"/>
        <v>0</v>
      </c>
      <c r="M240" s="69">
        <f t="shared" si="7"/>
        <v>0</v>
      </c>
    </row>
    <row r="241" spans="1:13" ht="63" outlineLevel="5">
      <c r="A241" s="19" t="s">
        <v>443</v>
      </c>
      <c r="B241" s="20" t="s">
        <v>2</v>
      </c>
      <c r="C241" s="20" t="s">
        <v>66</v>
      </c>
      <c r="D241" s="20" t="s">
        <v>117</v>
      </c>
      <c r="E241" s="20" t="s">
        <v>1</v>
      </c>
      <c r="F241" s="13">
        <f>F242+F243</f>
        <v>7874399.69</v>
      </c>
      <c r="G241" s="2"/>
      <c r="I241" s="13">
        <v>7907648.49</v>
      </c>
      <c r="J241" s="2"/>
      <c r="L241" s="69">
        <f t="shared" si="6"/>
        <v>-33248.799999999814</v>
      </c>
      <c r="M241" s="69">
        <f t="shared" si="7"/>
        <v>0</v>
      </c>
    </row>
    <row r="242" spans="1:13" ht="78.75" outlineLevel="6">
      <c r="A242" s="19" t="s">
        <v>704</v>
      </c>
      <c r="B242" s="20" t="s">
        <v>2</v>
      </c>
      <c r="C242" s="20" t="s">
        <v>66</v>
      </c>
      <c r="D242" s="20" t="s">
        <v>117</v>
      </c>
      <c r="E242" s="20" t="s">
        <v>10</v>
      </c>
      <c r="F242" s="13">
        <f>'Приложение_7 '!G161</f>
        <v>6294677.19</v>
      </c>
      <c r="G242" s="2"/>
      <c r="I242" s="13">
        <v>6312377.99</v>
      </c>
      <c r="J242" s="2"/>
      <c r="L242" s="69">
        <f t="shared" si="6"/>
        <v>-17700.799999999814</v>
      </c>
      <c r="M242" s="69">
        <f t="shared" si="7"/>
        <v>0</v>
      </c>
    </row>
    <row r="243" spans="1:13" ht="31.5" outlineLevel="6">
      <c r="A243" s="19" t="s">
        <v>689</v>
      </c>
      <c r="B243" s="20" t="s">
        <v>2</v>
      </c>
      <c r="C243" s="20" t="s">
        <v>66</v>
      </c>
      <c r="D243" s="20" t="s">
        <v>117</v>
      </c>
      <c r="E243" s="20" t="s">
        <v>17</v>
      </c>
      <c r="F243" s="13">
        <f>'Приложение_7 '!G162</f>
        <v>1579722.5</v>
      </c>
      <c r="G243" s="2"/>
      <c r="I243" s="13">
        <v>1595270.5</v>
      </c>
      <c r="J243" s="2"/>
      <c r="L243" s="69">
        <f t="shared" si="6"/>
        <v>-15548</v>
      </c>
      <c r="M243" s="69">
        <f t="shared" si="7"/>
        <v>0</v>
      </c>
    </row>
    <row r="244" spans="1:13" ht="63" outlineLevel="5">
      <c r="A244" s="19" t="s">
        <v>432</v>
      </c>
      <c r="B244" s="20" t="s">
        <v>2</v>
      </c>
      <c r="C244" s="20" t="s">
        <v>66</v>
      </c>
      <c r="D244" s="20" t="s">
        <v>118</v>
      </c>
      <c r="E244" s="20" t="s">
        <v>1</v>
      </c>
      <c r="F244" s="13">
        <f>F245</f>
        <v>175635.8</v>
      </c>
      <c r="G244" s="2"/>
      <c r="I244" s="13">
        <v>142387</v>
      </c>
      <c r="J244" s="2"/>
      <c r="L244" s="69">
        <f t="shared" si="6"/>
        <v>33248.79999999999</v>
      </c>
      <c r="M244" s="69">
        <f t="shared" si="7"/>
        <v>0</v>
      </c>
    </row>
    <row r="245" spans="1:13" ht="78.75" outlineLevel="6">
      <c r="A245" s="19" t="s">
        <v>704</v>
      </c>
      <c r="B245" s="20" t="s">
        <v>2</v>
      </c>
      <c r="C245" s="20" t="s">
        <v>66</v>
      </c>
      <c r="D245" s="20" t="s">
        <v>118</v>
      </c>
      <c r="E245" s="20" t="s">
        <v>10</v>
      </c>
      <c r="F245" s="13">
        <f>'Приложение_7 '!G164</f>
        <v>175635.8</v>
      </c>
      <c r="G245" s="2"/>
      <c r="I245" s="13">
        <v>142387</v>
      </c>
      <c r="J245" s="2"/>
      <c r="L245" s="69">
        <f t="shared" si="6"/>
        <v>33248.79999999999</v>
      </c>
      <c r="M245" s="69">
        <f t="shared" si="7"/>
        <v>0</v>
      </c>
    </row>
    <row r="246" spans="1:13" ht="63" outlineLevel="3">
      <c r="A246" s="42" t="s">
        <v>623</v>
      </c>
      <c r="B246" s="43" t="s">
        <v>2</v>
      </c>
      <c r="C246" s="43" t="s">
        <v>66</v>
      </c>
      <c r="D246" s="43" t="s">
        <v>119</v>
      </c>
      <c r="E246" s="43" t="s">
        <v>1</v>
      </c>
      <c r="F246" s="12">
        <f>F247+F254+F257+F261+F265</f>
        <v>28277365.490000002</v>
      </c>
      <c r="G246" s="1"/>
      <c r="I246" s="12">
        <v>27264965.49</v>
      </c>
      <c r="J246" s="1"/>
      <c r="L246" s="69">
        <f t="shared" si="6"/>
        <v>1012400.0000000037</v>
      </c>
      <c r="M246" s="69">
        <f t="shared" si="7"/>
        <v>0</v>
      </c>
    </row>
    <row r="247" spans="1:13" ht="94.5" outlineLevel="4">
      <c r="A247" s="19" t="s">
        <v>517</v>
      </c>
      <c r="B247" s="20" t="s">
        <v>2</v>
      </c>
      <c r="C247" s="20" t="s">
        <v>66</v>
      </c>
      <c r="D247" s="20" t="s">
        <v>120</v>
      </c>
      <c r="E247" s="20" t="s">
        <v>1</v>
      </c>
      <c r="F247" s="13">
        <f>F248+F252</f>
        <v>20301796.090000004</v>
      </c>
      <c r="G247" s="2"/>
      <c r="I247" s="13">
        <v>19184396.09</v>
      </c>
      <c r="J247" s="2"/>
      <c r="L247" s="69">
        <f t="shared" si="6"/>
        <v>1117400.0000000037</v>
      </c>
      <c r="M247" s="69">
        <f t="shared" si="7"/>
        <v>0</v>
      </c>
    </row>
    <row r="248" spans="1:13" ht="63" outlineLevel="5">
      <c r="A248" s="19" t="s">
        <v>443</v>
      </c>
      <c r="B248" s="20" t="s">
        <v>2</v>
      </c>
      <c r="C248" s="20" t="s">
        <v>66</v>
      </c>
      <c r="D248" s="20" t="s">
        <v>121</v>
      </c>
      <c r="E248" s="20" t="s">
        <v>1</v>
      </c>
      <c r="F248" s="13">
        <f>F249+F250+F251</f>
        <v>19751490.51</v>
      </c>
      <c r="G248" s="2"/>
      <c r="I248" s="13">
        <v>18739090.51</v>
      </c>
      <c r="J248" s="2"/>
      <c r="L248" s="69">
        <f t="shared" si="6"/>
        <v>1012400</v>
      </c>
      <c r="M248" s="69">
        <f t="shared" si="7"/>
        <v>0</v>
      </c>
    </row>
    <row r="249" spans="1:13" ht="78.75" outlineLevel="6">
      <c r="A249" s="19" t="s">
        <v>704</v>
      </c>
      <c r="B249" s="20" t="s">
        <v>2</v>
      </c>
      <c r="C249" s="20" t="s">
        <v>66</v>
      </c>
      <c r="D249" s="20" t="s">
        <v>121</v>
      </c>
      <c r="E249" s="20" t="s">
        <v>10</v>
      </c>
      <c r="F249" s="13">
        <f>'Приложение_7 '!G356</f>
        <v>18566169.360000003</v>
      </c>
      <c r="G249" s="2"/>
      <c r="I249" s="13">
        <v>17709740.98</v>
      </c>
      <c r="J249" s="2"/>
      <c r="L249" s="69">
        <f t="shared" si="6"/>
        <v>856428.3800000027</v>
      </c>
      <c r="M249" s="69">
        <f t="shared" si="7"/>
        <v>0</v>
      </c>
    </row>
    <row r="250" spans="1:13" ht="31.5" outlineLevel="6">
      <c r="A250" s="19" t="s">
        <v>689</v>
      </c>
      <c r="B250" s="20" t="s">
        <v>2</v>
      </c>
      <c r="C250" s="20" t="s">
        <v>66</v>
      </c>
      <c r="D250" s="20" t="s">
        <v>121</v>
      </c>
      <c r="E250" s="20" t="s">
        <v>17</v>
      </c>
      <c r="F250" s="13">
        <f>'Приложение_7 '!G357</f>
        <v>1182521.15</v>
      </c>
      <c r="G250" s="2"/>
      <c r="I250" s="13">
        <v>1029349.53</v>
      </c>
      <c r="J250" s="2"/>
      <c r="L250" s="69">
        <f t="shared" si="6"/>
        <v>153171.61999999988</v>
      </c>
      <c r="M250" s="69">
        <f t="shared" si="7"/>
        <v>0</v>
      </c>
    </row>
    <row r="251" spans="1:13" ht="15.75" outlineLevel="6">
      <c r="A251" s="19" t="s">
        <v>691</v>
      </c>
      <c r="B251" s="37" t="s">
        <v>2</v>
      </c>
      <c r="C251" s="37" t="s">
        <v>66</v>
      </c>
      <c r="D251" s="37" t="s">
        <v>121</v>
      </c>
      <c r="E251" s="37" t="s">
        <v>65</v>
      </c>
      <c r="F251" s="13">
        <f>'Приложение_7 '!G358</f>
        <v>2800</v>
      </c>
      <c r="G251" s="2"/>
      <c r="I251" s="13"/>
      <c r="J251" s="2"/>
      <c r="L251" s="69"/>
      <c r="M251" s="69"/>
    </row>
    <row r="252" spans="1:13" ht="63" outlineLevel="5">
      <c r="A252" s="19" t="s">
        <v>432</v>
      </c>
      <c r="B252" s="20" t="s">
        <v>2</v>
      </c>
      <c r="C252" s="20" t="s">
        <v>66</v>
      </c>
      <c r="D252" s="20" t="s">
        <v>122</v>
      </c>
      <c r="E252" s="20" t="s">
        <v>1</v>
      </c>
      <c r="F252" s="13">
        <f>F253</f>
        <v>550305.5800000001</v>
      </c>
      <c r="G252" s="2"/>
      <c r="I252" s="13">
        <v>445305.58</v>
      </c>
      <c r="J252" s="2"/>
      <c r="L252" s="69">
        <f t="shared" si="6"/>
        <v>105000.00000000006</v>
      </c>
      <c r="M252" s="69">
        <f t="shared" si="7"/>
        <v>0</v>
      </c>
    </row>
    <row r="253" spans="1:13" ht="78.75" outlineLevel="6">
      <c r="A253" s="19" t="s">
        <v>704</v>
      </c>
      <c r="B253" s="20" t="s">
        <v>2</v>
      </c>
      <c r="C253" s="20" t="s">
        <v>66</v>
      </c>
      <c r="D253" s="20" t="s">
        <v>122</v>
      </c>
      <c r="E253" s="20" t="s">
        <v>10</v>
      </c>
      <c r="F253" s="13">
        <f>'Приложение_7 '!G360</f>
        <v>550305.5800000001</v>
      </c>
      <c r="G253" s="2"/>
      <c r="I253" s="13">
        <v>445305.58</v>
      </c>
      <c r="J253" s="2"/>
      <c r="L253" s="69">
        <f t="shared" si="6"/>
        <v>105000.00000000006</v>
      </c>
      <c r="M253" s="69">
        <f t="shared" si="7"/>
        <v>0</v>
      </c>
    </row>
    <row r="254" spans="1:13" ht="47.25" outlineLevel="4">
      <c r="A254" s="19" t="s">
        <v>518</v>
      </c>
      <c r="B254" s="20" t="s">
        <v>2</v>
      </c>
      <c r="C254" s="20" t="s">
        <v>66</v>
      </c>
      <c r="D254" s="20" t="s">
        <v>123</v>
      </c>
      <c r="E254" s="20" t="s">
        <v>1</v>
      </c>
      <c r="F254" s="13">
        <f>F255</f>
        <v>35908</v>
      </c>
      <c r="G254" s="2"/>
      <c r="I254" s="13">
        <v>35908</v>
      </c>
      <c r="J254" s="2"/>
      <c r="L254" s="69">
        <f t="shared" si="6"/>
        <v>0</v>
      </c>
      <c r="M254" s="69">
        <f t="shared" si="7"/>
        <v>0</v>
      </c>
    </row>
    <row r="255" spans="1:13" ht="63" outlineLevel="5">
      <c r="A255" s="19" t="s">
        <v>443</v>
      </c>
      <c r="B255" s="20" t="s">
        <v>2</v>
      </c>
      <c r="C255" s="20" t="s">
        <v>66</v>
      </c>
      <c r="D255" s="20" t="s">
        <v>124</v>
      </c>
      <c r="E255" s="20" t="s">
        <v>1</v>
      </c>
      <c r="F255" s="13">
        <f>F256</f>
        <v>35908</v>
      </c>
      <c r="G255" s="2"/>
      <c r="I255" s="13">
        <v>35908</v>
      </c>
      <c r="J255" s="2"/>
      <c r="L255" s="69">
        <f t="shared" si="6"/>
        <v>0</v>
      </c>
      <c r="M255" s="69">
        <f t="shared" si="7"/>
        <v>0</v>
      </c>
    </row>
    <row r="256" spans="1:13" ht="31.5" outlineLevel="6">
      <c r="A256" s="19" t="s">
        <v>689</v>
      </c>
      <c r="B256" s="20" t="s">
        <v>2</v>
      </c>
      <c r="C256" s="20" t="s">
        <v>66</v>
      </c>
      <c r="D256" s="20" t="s">
        <v>124</v>
      </c>
      <c r="E256" s="20" t="s">
        <v>17</v>
      </c>
      <c r="F256" s="13">
        <f>'Приложение_7 '!G363</f>
        <v>35908</v>
      </c>
      <c r="G256" s="2"/>
      <c r="I256" s="13">
        <v>35908</v>
      </c>
      <c r="J256" s="2"/>
      <c r="L256" s="69">
        <f t="shared" si="6"/>
        <v>0</v>
      </c>
      <c r="M256" s="69">
        <f t="shared" si="7"/>
        <v>0</v>
      </c>
    </row>
    <row r="257" spans="1:13" ht="31.5" outlineLevel="4">
      <c r="A257" s="19" t="s">
        <v>519</v>
      </c>
      <c r="B257" s="20" t="s">
        <v>2</v>
      </c>
      <c r="C257" s="20" t="s">
        <v>66</v>
      </c>
      <c r="D257" s="20" t="s">
        <v>125</v>
      </c>
      <c r="E257" s="20" t="s">
        <v>1</v>
      </c>
      <c r="F257" s="13">
        <f>F258</f>
        <v>5588721.359999999</v>
      </c>
      <c r="G257" s="2"/>
      <c r="I257" s="13">
        <v>5588721.36</v>
      </c>
      <c r="J257" s="2"/>
      <c r="L257" s="69">
        <f t="shared" si="6"/>
        <v>0</v>
      </c>
      <c r="M257" s="69">
        <f t="shared" si="7"/>
        <v>0</v>
      </c>
    </row>
    <row r="258" spans="1:13" ht="63" outlineLevel="5">
      <c r="A258" s="19" t="s">
        <v>443</v>
      </c>
      <c r="B258" s="20" t="s">
        <v>2</v>
      </c>
      <c r="C258" s="20" t="s">
        <v>66</v>
      </c>
      <c r="D258" s="20" t="s">
        <v>126</v>
      </c>
      <c r="E258" s="20" t="s">
        <v>1</v>
      </c>
      <c r="F258" s="13">
        <f>F259+F260</f>
        <v>5588721.359999999</v>
      </c>
      <c r="G258" s="2"/>
      <c r="I258" s="13">
        <v>5588721.36</v>
      </c>
      <c r="J258" s="2"/>
      <c r="L258" s="69">
        <f t="shared" si="6"/>
        <v>0</v>
      </c>
      <c r="M258" s="69">
        <f t="shared" si="7"/>
        <v>0</v>
      </c>
    </row>
    <row r="259" spans="1:13" ht="78.75" outlineLevel="6">
      <c r="A259" s="19" t="s">
        <v>704</v>
      </c>
      <c r="B259" s="20" t="s">
        <v>2</v>
      </c>
      <c r="C259" s="20" t="s">
        <v>66</v>
      </c>
      <c r="D259" s="20" t="s">
        <v>126</v>
      </c>
      <c r="E259" s="20" t="s">
        <v>10</v>
      </c>
      <c r="F259" s="13">
        <f>'Приложение_7 '!G366</f>
        <v>5040338.6</v>
      </c>
      <c r="G259" s="2"/>
      <c r="I259" s="13">
        <v>5040338.6</v>
      </c>
      <c r="J259" s="2"/>
      <c r="L259" s="69">
        <f t="shared" si="6"/>
        <v>0</v>
      </c>
      <c r="M259" s="69">
        <f t="shared" si="7"/>
        <v>0</v>
      </c>
    </row>
    <row r="260" spans="1:13" ht="31.5" outlineLevel="6">
      <c r="A260" s="19" t="s">
        <v>689</v>
      </c>
      <c r="B260" s="20" t="s">
        <v>2</v>
      </c>
      <c r="C260" s="20" t="s">
        <v>66</v>
      </c>
      <c r="D260" s="20" t="s">
        <v>126</v>
      </c>
      <c r="E260" s="20" t="s">
        <v>17</v>
      </c>
      <c r="F260" s="13">
        <f>'Приложение_7 '!G367</f>
        <v>548382.76</v>
      </c>
      <c r="G260" s="2"/>
      <c r="I260" s="13">
        <v>548382.76</v>
      </c>
      <c r="J260" s="2"/>
      <c r="L260" s="69">
        <f t="shared" si="6"/>
        <v>0</v>
      </c>
      <c r="M260" s="69">
        <f t="shared" si="7"/>
        <v>0</v>
      </c>
    </row>
    <row r="261" spans="1:13" ht="63" outlineLevel="4">
      <c r="A261" s="19" t="s">
        <v>520</v>
      </c>
      <c r="B261" s="20" t="s">
        <v>2</v>
      </c>
      <c r="C261" s="20" t="s">
        <v>66</v>
      </c>
      <c r="D261" s="20" t="s">
        <v>127</v>
      </c>
      <c r="E261" s="20" t="s">
        <v>1</v>
      </c>
      <c r="F261" s="13">
        <f>F262</f>
        <v>235380</v>
      </c>
      <c r="G261" s="2"/>
      <c r="I261" s="13">
        <v>340380</v>
      </c>
      <c r="J261" s="2"/>
      <c r="L261" s="69">
        <f t="shared" si="6"/>
        <v>-105000</v>
      </c>
      <c r="M261" s="69">
        <f t="shared" si="7"/>
        <v>0</v>
      </c>
    </row>
    <row r="262" spans="1:13" ht="31.5" outlineLevel="5">
      <c r="A262" s="19" t="s">
        <v>441</v>
      </c>
      <c r="B262" s="20" t="s">
        <v>2</v>
      </c>
      <c r="C262" s="20" t="s">
        <v>66</v>
      </c>
      <c r="D262" s="20" t="s">
        <v>128</v>
      </c>
      <c r="E262" s="20" t="s">
        <v>1</v>
      </c>
      <c r="F262" s="13">
        <f>F263+F264</f>
        <v>235380</v>
      </c>
      <c r="G262" s="2"/>
      <c r="I262" s="13">
        <v>340380</v>
      </c>
      <c r="J262" s="2"/>
      <c r="L262" s="69">
        <f t="shared" si="6"/>
        <v>-105000</v>
      </c>
      <c r="M262" s="69">
        <f t="shared" si="7"/>
        <v>0</v>
      </c>
    </row>
    <row r="263" spans="1:13" ht="31.5" outlineLevel="6">
      <c r="A263" s="19" t="s">
        <v>690</v>
      </c>
      <c r="B263" s="20" t="s">
        <v>2</v>
      </c>
      <c r="C263" s="20" t="s">
        <v>66</v>
      </c>
      <c r="D263" s="20" t="s">
        <v>128</v>
      </c>
      <c r="E263" s="20" t="s">
        <v>47</v>
      </c>
      <c r="F263" s="13">
        <f>'Приложение_7 '!G370</f>
        <v>235380</v>
      </c>
      <c r="G263" s="2"/>
      <c r="I263" s="13">
        <v>340380</v>
      </c>
      <c r="J263" s="2"/>
      <c r="L263" s="69">
        <f t="shared" si="6"/>
        <v>-105000</v>
      </c>
      <c r="M263" s="69">
        <f t="shared" si="7"/>
        <v>0</v>
      </c>
    </row>
    <row r="264" spans="1:13" ht="15.75" hidden="1" outlineLevel="6">
      <c r="A264" s="19" t="s">
        <v>691</v>
      </c>
      <c r="B264" s="37" t="s">
        <v>2</v>
      </c>
      <c r="C264" s="37" t="s">
        <v>66</v>
      </c>
      <c r="D264" s="37" t="s">
        <v>128</v>
      </c>
      <c r="E264" s="37" t="s">
        <v>65</v>
      </c>
      <c r="F264" s="13">
        <f>'Приложение_7 '!G371</f>
        <v>0</v>
      </c>
      <c r="G264" s="2"/>
      <c r="I264" s="13"/>
      <c r="J264" s="2"/>
      <c r="L264" s="69"/>
      <c r="M264" s="69"/>
    </row>
    <row r="265" spans="1:13" ht="63" outlineLevel="4" collapsed="1">
      <c r="A265" s="19" t="s">
        <v>521</v>
      </c>
      <c r="B265" s="20" t="s">
        <v>2</v>
      </c>
      <c r="C265" s="20" t="s">
        <v>66</v>
      </c>
      <c r="D265" s="20" t="s">
        <v>129</v>
      </c>
      <c r="E265" s="20" t="s">
        <v>1</v>
      </c>
      <c r="F265" s="13">
        <f>F266</f>
        <v>2115560.04</v>
      </c>
      <c r="G265" s="2"/>
      <c r="I265" s="13">
        <v>2115560.04</v>
      </c>
      <c r="J265" s="2"/>
      <c r="L265" s="69">
        <f t="shared" si="6"/>
        <v>0</v>
      </c>
      <c r="M265" s="69">
        <f t="shared" si="7"/>
        <v>0</v>
      </c>
    </row>
    <row r="266" spans="1:13" ht="63" outlineLevel="5">
      <c r="A266" s="19" t="s">
        <v>443</v>
      </c>
      <c r="B266" s="20" t="s">
        <v>2</v>
      </c>
      <c r="C266" s="20" t="s">
        <v>66</v>
      </c>
      <c r="D266" s="20" t="s">
        <v>130</v>
      </c>
      <c r="E266" s="20" t="s">
        <v>1</v>
      </c>
      <c r="F266" s="13">
        <f>F267</f>
        <v>2115560.04</v>
      </c>
      <c r="G266" s="2"/>
      <c r="I266" s="13">
        <v>2115560.04</v>
      </c>
      <c r="J266" s="2"/>
      <c r="L266" s="69">
        <f t="shared" si="6"/>
        <v>0</v>
      </c>
      <c r="M266" s="69">
        <f t="shared" si="7"/>
        <v>0</v>
      </c>
    </row>
    <row r="267" spans="1:13" ht="78.75" outlineLevel="6">
      <c r="A267" s="19" t="s">
        <v>704</v>
      </c>
      <c r="B267" s="20" t="s">
        <v>2</v>
      </c>
      <c r="C267" s="20" t="s">
        <v>66</v>
      </c>
      <c r="D267" s="20" t="s">
        <v>130</v>
      </c>
      <c r="E267" s="20" t="s">
        <v>10</v>
      </c>
      <c r="F267" s="13">
        <f>'Приложение_7 '!G374</f>
        <v>2115560.04</v>
      </c>
      <c r="G267" s="2"/>
      <c r="I267" s="13">
        <v>2115560.04</v>
      </c>
      <c r="J267" s="2"/>
      <c r="L267" s="69">
        <f t="shared" si="6"/>
        <v>0</v>
      </c>
      <c r="M267" s="69">
        <f t="shared" si="7"/>
        <v>0</v>
      </c>
    </row>
    <row r="268" spans="1:13" ht="31.5" outlineLevel="3">
      <c r="A268" s="42" t="s">
        <v>624</v>
      </c>
      <c r="B268" s="43" t="s">
        <v>2</v>
      </c>
      <c r="C268" s="43" t="s">
        <v>66</v>
      </c>
      <c r="D268" s="43" t="s">
        <v>131</v>
      </c>
      <c r="E268" s="43" t="s">
        <v>1</v>
      </c>
      <c r="F268" s="12">
        <f>F269+F276+F283</f>
        <v>33516665.739999995</v>
      </c>
      <c r="G268" s="1"/>
      <c r="I268" s="12">
        <v>33446282.56</v>
      </c>
      <c r="J268" s="1"/>
      <c r="L268" s="69">
        <f t="shared" si="6"/>
        <v>70383.17999999598</v>
      </c>
      <c r="M268" s="69">
        <f t="shared" si="7"/>
        <v>0</v>
      </c>
    </row>
    <row r="269" spans="1:13" ht="31.5" outlineLevel="4">
      <c r="A269" s="19" t="s">
        <v>522</v>
      </c>
      <c r="B269" s="20" t="s">
        <v>2</v>
      </c>
      <c r="C269" s="20" t="s">
        <v>66</v>
      </c>
      <c r="D269" s="20" t="s">
        <v>132</v>
      </c>
      <c r="E269" s="20" t="s">
        <v>1</v>
      </c>
      <c r="F269" s="13">
        <f>F270+F274</f>
        <v>9811553.35</v>
      </c>
      <c r="G269" s="2"/>
      <c r="I269" s="13">
        <v>9775521.4</v>
      </c>
      <c r="J269" s="2"/>
      <c r="L269" s="69">
        <f t="shared" si="6"/>
        <v>36031.949999999255</v>
      </c>
      <c r="M269" s="69">
        <f t="shared" si="7"/>
        <v>0</v>
      </c>
    </row>
    <row r="270" spans="1:13" ht="63" outlineLevel="5">
      <c r="A270" s="19" t="s">
        <v>443</v>
      </c>
      <c r="B270" s="20" t="s">
        <v>2</v>
      </c>
      <c r="C270" s="20" t="s">
        <v>66</v>
      </c>
      <c r="D270" s="20" t="s">
        <v>133</v>
      </c>
      <c r="E270" s="20" t="s">
        <v>1</v>
      </c>
      <c r="F270" s="13">
        <f>F271+F272+F273</f>
        <v>9690632.03</v>
      </c>
      <c r="G270" s="2"/>
      <c r="I270" s="13">
        <v>9693021.4</v>
      </c>
      <c r="J270" s="2"/>
      <c r="L270" s="69">
        <f t="shared" si="6"/>
        <v>-2389.370000001043</v>
      </c>
      <c r="M270" s="69">
        <f t="shared" si="7"/>
        <v>0</v>
      </c>
    </row>
    <row r="271" spans="1:13" ht="78.75" outlineLevel="6">
      <c r="A271" s="19" t="s">
        <v>704</v>
      </c>
      <c r="B271" s="20" t="s">
        <v>2</v>
      </c>
      <c r="C271" s="20" t="s">
        <v>66</v>
      </c>
      <c r="D271" s="20" t="s">
        <v>133</v>
      </c>
      <c r="E271" s="20" t="s">
        <v>10</v>
      </c>
      <c r="F271" s="13">
        <f>'Приложение_7 '!G168</f>
        <v>7012313.76</v>
      </c>
      <c r="G271" s="2"/>
      <c r="I271" s="13">
        <v>7012313.76</v>
      </c>
      <c r="J271" s="2"/>
      <c r="L271" s="69">
        <f t="shared" si="6"/>
        <v>0</v>
      </c>
      <c r="M271" s="69">
        <f t="shared" si="7"/>
        <v>0</v>
      </c>
    </row>
    <row r="272" spans="1:13" ht="31.5" outlineLevel="6">
      <c r="A272" s="19" t="s">
        <v>689</v>
      </c>
      <c r="B272" s="20" t="s">
        <v>2</v>
      </c>
      <c r="C272" s="20" t="s">
        <v>66</v>
      </c>
      <c r="D272" s="20" t="s">
        <v>133</v>
      </c>
      <c r="E272" s="20" t="s">
        <v>17</v>
      </c>
      <c r="F272" s="13">
        <f>'Приложение_7 '!G169</f>
        <v>2634519.27</v>
      </c>
      <c r="G272" s="2"/>
      <c r="I272" s="13">
        <v>2636908.64</v>
      </c>
      <c r="J272" s="2"/>
      <c r="L272" s="69">
        <f t="shared" si="6"/>
        <v>-2389.3700000001118</v>
      </c>
      <c r="M272" s="69">
        <f t="shared" si="7"/>
        <v>0</v>
      </c>
    </row>
    <row r="273" spans="1:13" ht="15.75" outlineLevel="6">
      <c r="A273" s="19" t="s">
        <v>691</v>
      </c>
      <c r="B273" s="20" t="s">
        <v>2</v>
      </c>
      <c r="C273" s="20" t="s">
        <v>66</v>
      </c>
      <c r="D273" s="20" t="s">
        <v>133</v>
      </c>
      <c r="E273" s="20" t="s">
        <v>65</v>
      </c>
      <c r="F273" s="13">
        <f>'Приложение_7 '!G170</f>
        <v>43799</v>
      </c>
      <c r="G273" s="2"/>
      <c r="I273" s="13">
        <v>43799</v>
      </c>
      <c r="J273" s="2"/>
      <c r="L273" s="69">
        <f t="shared" si="6"/>
        <v>0</v>
      </c>
      <c r="M273" s="69">
        <f t="shared" si="7"/>
        <v>0</v>
      </c>
    </row>
    <row r="274" spans="1:13" ht="63" outlineLevel="5">
      <c r="A274" s="19" t="s">
        <v>432</v>
      </c>
      <c r="B274" s="20" t="s">
        <v>2</v>
      </c>
      <c r="C274" s="20" t="s">
        <v>66</v>
      </c>
      <c r="D274" s="20" t="s">
        <v>134</v>
      </c>
      <c r="E274" s="20" t="s">
        <v>1</v>
      </c>
      <c r="F274" s="13">
        <f>F275</f>
        <v>120921.32</v>
      </c>
      <c r="G274" s="2"/>
      <c r="I274" s="13">
        <v>82500</v>
      </c>
      <c r="J274" s="2"/>
      <c r="L274" s="69">
        <f t="shared" si="6"/>
        <v>38421.32000000001</v>
      </c>
      <c r="M274" s="69">
        <f t="shared" si="7"/>
        <v>0</v>
      </c>
    </row>
    <row r="275" spans="1:13" ht="78.75" outlineLevel="6">
      <c r="A275" s="19" t="s">
        <v>704</v>
      </c>
      <c r="B275" s="20" t="s">
        <v>2</v>
      </c>
      <c r="C275" s="20" t="s">
        <v>66</v>
      </c>
      <c r="D275" s="20" t="s">
        <v>134</v>
      </c>
      <c r="E275" s="20" t="s">
        <v>10</v>
      </c>
      <c r="F275" s="13">
        <f>'Приложение_7 '!G172</f>
        <v>120921.32</v>
      </c>
      <c r="G275" s="2"/>
      <c r="I275" s="13">
        <v>82500</v>
      </c>
      <c r="J275" s="2"/>
      <c r="L275" s="69">
        <f t="shared" si="6"/>
        <v>38421.32000000001</v>
      </c>
      <c r="M275" s="69">
        <f t="shared" si="7"/>
        <v>0</v>
      </c>
    </row>
    <row r="276" spans="1:13" ht="47.25" outlineLevel="4">
      <c r="A276" s="19" t="s">
        <v>523</v>
      </c>
      <c r="B276" s="20" t="s">
        <v>2</v>
      </c>
      <c r="C276" s="20" t="s">
        <v>66</v>
      </c>
      <c r="D276" s="20" t="s">
        <v>135</v>
      </c>
      <c r="E276" s="20" t="s">
        <v>1</v>
      </c>
      <c r="F276" s="13">
        <f>F277+F281</f>
        <v>21075189.24</v>
      </c>
      <c r="G276" s="2"/>
      <c r="I276" s="13">
        <v>20503573.51</v>
      </c>
      <c r="J276" s="2"/>
      <c r="L276" s="69">
        <f t="shared" si="6"/>
        <v>571615.7299999967</v>
      </c>
      <c r="M276" s="69">
        <f t="shared" si="7"/>
        <v>0</v>
      </c>
    </row>
    <row r="277" spans="1:13" ht="63" outlineLevel="5">
      <c r="A277" s="19" t="s">
        <v>443</v>
      </c>
      <c r="B277" s="20" t="s">
        <v>2</v>
      </c>
      <c r="C277" s="20" t="s">
        <v>66</v>
      </c>
      <c r="D277" s="20" t="s">
        <v>136</v>
      </c>
      <c r="E277" s="20" t="s">
        <v>1</v>
      </c>
      <c r="F277" s="13">
        <f>F278+F279+F280</f>
        <v>20795599.18</v>
      </c>
      <c r="G277" s="2"/>
      <c r="I277" s="13">
        <v>20336073.51</v>
      </c>
      <c r="J277" s="2"/>
      <c r="L277" s="69">
        <f t="shared" si="6"/>
        <v>459525.66999999806</v>
      </c>
      <c r="M277" s="69">
        <f t="shared" si="7"/>
        <v>0</v>
      </c>
    </row>
    <row r="278" spans="1:13" ht="78.75" outlineLevel="6">
      <c r="A278" s="19" t="s">
        <v>704</v>
      </c>
      <c r="B278" s="20" t="s">
        <v>2</v>
      </c>
      <c r="C278" s="20" t="s">
        <v>66</v>
      </c>
      <c r="D278" s="20" t="s">
        <v>136</v>
      </c>
      <c r="E278" s="20" t="s">
        <v>10</v>
      </c>
      <c r="F278" s="13">
        <f>'Приложение_7 '!G175</f>
        <v>12098388.55</v>
      </c>
      <c r="G278" s="2"/>
      <c r="I278" s="13">
        <v>11601322.55</v>
      </c>
      <c r="J278" s="2"/>
      <c r="L278" s="69">
        <f t="shared" si="6"/>
        <v>497066</v>
      </c>
      <c r="M278" s="69">
        <f t="shared" si="7"/>
        <v>0</v>
      </c>
    </row>
    <row r="279" spans="1:13" ht="31.5" outlineLevel="6">
      <c r="A279" s="19" t="s">
        <v>689</v>
      </c>
      <c r="B279" s="20" t="s">
        <v>2</v>
      </c>
      <c r="C279" s="20" t="s">
        <v>66</v>
      </c>
      <c r="D279" s="20" t="s">
        <v>136</v>
      </c>
      <c r="E279" s="20" t="s">
        <v>17</v>
      </c>
      <c r="F279" s="13">
        <f>'Приложение_7 '!G176</f>
        <v>8668557.63</v>
      </c>
      <c r="G279" s="2"/>
      <c r="I279" s="13">
        <v>8706362.96</v>
      </c>
      <c r="J279" s="2"/>
      <c r="L279" s="69">
        <f t="shared" si="6"/>
        <v>-37805.330000000075</v>
      </c>
      <c r="M279" s="69">
        <f t="shared" si="7"/>
        <v>0</v>
      </c>
    </row>
    <row r="280" spans="1:13" ht="15.75" outlineLevel="6">
      <c r="A280" s="19" t="s">
        <v>691</v>
      </c>
      <c r="B280" s="20" t="s">
        <v>2</v>
      </c>
      <c r="C280" s="20" t="s">
        <v>66</v>
      </c>
      <c r="D280" s="20" t="s">
        <v>136</v>
      </c>
      <c r="E280" s="20" t="s">
        <v>65</v>
      </c>
      <c r="F280" s="13">
        <f>'Приложение_7 '!G177</f>
        <v>28653</v>
      </c>
      <c r="G280" s="2"/>
      <c r="I280" s="13">
        <v>28388</v>
      </c>
      <c r="J280" s="2"/>
      <c r="L280" s="69">
        <f t="shared" si="6"/>
        <v>265</v>
      </c>
      <c r="M280" s="69">
        <f t="shared" si="7"/>
        <v>0</v>
      </c>
    </row>
    <row r="281" spans="1:13" ht="63" outlineLevel="5">
      <c r="A281" s="19" t="s">
        <v>432</v>
      </c>
      <c r="B281" s="20" t="s">
        <v>2</v>
      </c>
      <c r="C281" s="20" t="s">
        <v>66</v>
      </c>
      <c r="D281" s="20" t="s">
        <v>137</v>
      </c>
      <c r="E281" s="20" t="s">
        <v>1</v>
      </c>
      <c r="F281" s="13">
        <f>F282</f>
        <v>279590.06</v>
      </c>
      <c r="G281" s="2"/>
      <c r="I281" s="13">
        <v>167500</v>
      </c>
      <c r="J281" s="2"/>
      <c r="L281" s="69">
        <f t="shared" si="6"/>
        <v>112090.06</v>
      </c>
      <c r="M281" s="69">
        <f t="shared" si="7"/>
        <v>0</v>
      </c>
    </row>
    <row r="282" spans="1:13" ht="78.75" outlineLevel="6">
      <c r="A282" s="19" t="s">
        <v>704</v>
      </c>
      <c r="B282" s="20" t="s">
        <v>2</v>
      </c>
      <c r="C282" s="20" t="s">
        <v>66</v>
      </c>
      <c r="D282" s="20" t="s">
        <v>137</v>
      </c>
      <c r="E282" s="20" t="s">
        <v>10</v>
      </c>
      <c r="F282" s="13">
        <f>'Приложение_7 '!G179</f>
        <v>279590.06</v>
      </c>
      <c r="G282" s="2"/>
      <c r="I282" s="13">
        <v>167500</v>
      </c>
      <c r="J282" s="2"/>
      <c r="L282" s="69">
        <f t="shared" si="6"/>
        <v>112090.06</v>
      </c>
      <c r="M282" s="69">
        <f t="shared" si="7"/>
        <v>0</v>
      </c>
    </row>
    <row r="283" spans="1:13" ht="31.5" outlineLevel="4">
      <c r="A283" s="19" t="s">
        <v>524</v>
      </c>
      <c r="B283" s="20" t="s">
        <v>2</v>
      </c>
      <c r="C283" s="20" t="s">
        <v>66</v>
      </c>
      <c r="D283" s="20" t="s">
        <v>138</v>
      </c>
      <c r="E283" s="20" t="s">
        <v>1</v>
      </c>
      <c r="F283" s="13">
        <f>F284+F289+F287</f>
        <v>2629923.15</v>
      </c>
      <c r="G283" s="2"/>
      <c r="I283" s="13">
        <v>3167187.65</v>
      </c>
      <c r="J283" s="2"/>
      <c r="L283" s="69">
        <f t="shared" si="6"/>
        <v>-537264.5</v>
      </c>
      <c r="M283" s="69">
        <f t="shared" si="7"/>
        <v>0</v>
      </c>
    </row>
    <row r="284" spans="1:13" ht="63" outlineLevel="5">
      <c r="A284" s="19" t="s">
        <v>443</v>
      </c>
      <c r="B284" s="20" t="s">
        <v>2</v>
      </c>
      <c r="C284" s="20" t="s">
        <v>66</v>
      </c>
      <c r="D284" s="20" t="s">
        <v>139</v>
      </c>
      <c r="E284" s="20" t="s">
        <v>1</v>
      </c>
      <c r="F284" s="13">
        <f>F285+F286</f>
        <v>1785019.7</v>
      </c>
      <c r="G284" s="2"/>
      <c r="I284" s="13">
        <v>2315008</v>
      </c>
      <c r="J284" s="2"/>
      <c r="L284" s="69">
        <f t="shared" si="6"/>
        <v>-529988.3</v>
      </c>
      <c r="M284" s="69">
        <f t="shared" si="7"/>
        <v>0</v>
      </c>
    </row>
    <row r="285" spans="1:13" ht="78.75" outlineLevel="6">
      <c r="A285" s="19" t="s">
        <v>704</v>
      </c>
      <c r="B285" s="20" t="s">
        <v>2</v>
      </c>
      <c r="C285" s="20" t="s">
        <v>66</v>
      </c>
      <c r="D285" s="20" t="s">
        <v>139</v>
      </c>
      <c r="E285" s="20" t="s">
        <v>10</v>
      </c>
      <c r="F285" s="13">
        <f>'Приложение_7 '!G182</f>
        <v>975437</v>
      </c>
      <c r="G285" s="2"/>
      <c r="I285" s="13">
        <v>1466478</v>
      </c>
      <c r="J285" s="2"/>
      <c r="L285" s="69">
        <f t="shared" si="6"/>
        <v>-491041</v>
      </c>
      <c r="M285" s="69">
        <f t="shared" si="7"/>
        <v>0</v>
      </c>
    </row>
    <row r="286" spans="1:13" ht="31.5" outlineLevel="6">
      <c r="A286" s="19" t="s">
        <v>689</v>
      </c>
      <c r="B286" s="20" t="s">
        <v>2</v>
      </c>
      <c r="C286" s="20" t="s">
        <v>66</v>
      </c>
      <c r="D286" s="20" t="s">
        <v>139</v>
      </c>
      <c r="E286" s="20" t="s">
        <v>17</v>
      </c>
      <c r="F286" s="13">
        <f>'Приложение_7 '!G183</f>
        <v>809582.7</v>
      </c>
      <c r="G286" s="1"/>
      <c r="I286" s="13">
        <v>848530</v>
      </c>
      <c r="J286" s="1"/>
      <c r="L286" s="69">
        <f t="shared" si="6"/>
        <v>-38947.30000000005</v>
      </c>
      <c r="M286" s="69">
        <f t="shared" si="7"/>
        <v>0</v>
      </c>
    </row>
    <row r="287" spans="1:13" ht="63" outlineLevel="6">
      <c r="A287" s="103" t="s">
        <v>432</v>
      </c>
      <c r="B287" s="104" t="s">
        <v>2</v>
      </c>
      <c r="C287" s="104" t="s">
        <v>66</v>
      </c>
      <c r="D287" s="104" t="s">
        <v>929</v>
      </c>
      <c r="E287" s="104"/>
      <c r="F287" s="13">
        <f>F288</f>
        <v>45723.8</v>
      </c>
      <c r="G287" s="1"/>
      <c r="I287" s="13"/>
      <c r="J287" s="1"/>
      <c r="L287" s="69"/>
      <c r="M287" s="69"/>
    </row>
    <row r="288" spans="1:13" ht="78.75" outlineLevel="6">
      <c r="A288" s="36" t="s">
        <v>704</v>
      </c>
      <c r="B288" s="104" t="s">
        <v>2</v>
      </c>
      <c r="C288" s="104" t="s">
        <v>66</v>
      </c>
      <c r="D288" s="104" t="s">
        <v>929</v>
      </c>
      <c r="E288" s="104" t="s">
        <v>10</v>
      </c>
      <c r="F288" s="13">
        <f>'Приложение_7 '!G185</f>
        <v>45723.8</v>
      </c>
      <c r="G288" s="1"/>
      <c r="I288" s="13"/>
      <c r="J288" s="1"/>
      <c r="L288" s="69"/>
      <c r="M288" s="69"/>
    </row>
    <row r="289" spans="1:13" ht="31.5" outlineLevel="5">
      <c r="A289" s="19" t="s">
        <v>441</v>
      </c>
      <c r="B289" s="20" t="s">
        <v>2</v>
      </c>
      <c r="C289" s="20" t="s">
        <v>66</v>
      </c>
      <c r="D289" s="20" t="s">
        <v>140</v>
      </c>
      <c r="E289" s="20" t="s">
        <v>1</v>
      </c>
      <c r="F289" s="13">
        <f>F290</f>
        <v>799179.65</v>
      </c>
      <c r="G289" s="1"/>
      <c r="I289" s="13">
        <v>852179.65</v>
      </c>
      <c r="J289" s="1"/>
      <c r="L289" s="69">
        <f t="shared" si="6"/>
        <v>-53000</v>
      </c>
      <c r="M289" s="69">
        <f t="shared" si="7"/>
        <v>0</v>
      </c>
    </row>
    <row r="290" spans="1:13" ht="31.5" outlineLevel="6">
      <c r="A290" s="19" t="s">
        <v>689</v>
      </c>
      <c r="B290" s="20" t="s">
        <v>2</v>
      </c>
      <c r="C290" s="20" t="s">
        <v>66</v>
      </c>
      <c r="D290" s="20" t="s">
        <v>140</v>
      </c>
      <c r="E290" s="20" t="s">
        <v>17</v>
      </c>
      <c r="F290" s="13">
        <f>'Приложение_7 '!G187+'Приложение_7 '!G378+'Приложение_7 '!G629+'Приложение_7 '!G64</f>
        <v>799179.65</v>
      </c>
      <c r="G290" s="2"/>
      <c r="I290" s="13">
        <v>852179.65</v>
      </c>
      <c r="J290" s="2"/>
      <c r="L290" s="69">
        <f t="shared" si="6"/>
        <v>-53000</v>
      </c>
      <c r="M290" s="69">
        <f t="shared" si="7"/>
        <v>0</v>
      </c>
    </row>
    <row r="291" spans="1:13" ht="15.75" outlineLevel="2">
      <c r="A291" s="42" t="s">
        <v>490</v>
      </c>
      <c r="B291" s="43" t="s">
        <v>2</v>
      </c>
      <c r="C291" s="43" t="s">
        <v>66</v>
      </c>
      <c r="D291" s="43" t="s">
        <v>11</v>
      </c>
      <c r="E291" s="43" t="s">
        <v>1</v>
      </c>
      <c r="F291" s="12">
        <f>F292+F297+F295</f>
        <v>15923764.17</v>
      </c>
      <c r="G291" s="1"/>
      <c r="I291" s="12">
        <v>9350967.87</v>
      </c>
      <c r="J291" s="1"/>
      <c r="L291" s="69">
        <f t="shared" si="6"/>
        <v>6572796.300000001</v>
      </c>
      <c r="M291" s="69">
        <f t="shared" si="7"/>
        <v>0</v>
      </c>
    </row>
    <row r="292" spans="1:13" ht="31.5" outlineLevel="5">
      <c r="A292" s="19" t="s">
        <v>447</v>
      </c>
      <c r="B292" s="20" t="s">
        <v>2</v>
      </c>
      <c r="C292" s="20" t="s">
        <v>66</v>
      </c>
      <c r="D292" s="20" t="s">
        <v>141</v>
      </c>
      <c r="E292" s="20" t="s">
        <v>1</v>
      </c>
      <c r="F292" s="13">
        <f>F293+F294</f>
        <v>645754.4199999999</v>
      </c>
      <c r="G292" s="2"/>
      <c r="I292" s="13">
        <v>736764.42</v>
      </c>
      <c r="J292" s="2"/>
      <c r="L292" s="69">
        <f t="shared" si="6"/>
        <v>-91010.00000000012</v>
      </c>
      <c r="M292" s="69">
        <f t="shared" si="7"/>
        <v>0</v>
      </c>
    </row>
    <row r="293" spans="1:13" ht="31.5" outlineLevel="6">
      <c r="A293" s="19" t="s">
        <v>689</v>
      </c>
      <c r="B293" s="20" t="s">
        <v>2</v>
      </c>
      <c r="C293" s="20" t="s">
        <v>66</v>
      </c>
      <c r="D293" s="20" t="s">
        <v>141</v>
      </c>
      <c r="E293" s="20" t="s">
        <v>17</v>
      </c>
      <c r="F293" s="13">
        <f>'Приложение_7 '!G190</f>
        <v>197850</v>
      </c>
      <c r="G293" s="2"/>
      <c r="I293" s="13">
        <v>249000</v>
      </c>
      <c r="J293" s="2"/>
      <c r="L293" s="69">
        <f t="shared" si="6"/>
        <v>-51150</v>
      </c>
      <c r="M293" s="69">
        <f t="shared" si="7"/>
        <v>0</v>
      </c>
    </row>
    <row r="294" spans="1:13" ht="15.75" outlineLevel="6">
      <c r="A294" s="19" t="s">
        <v>691</v>
      </c>
      <c r="B294" s="20" t="s">
        <v>2</v>
      </c>
      <c r="C294" s="20" t="s">
        <v>66</v>
      </c>
      <c r="D294" s="20" t="s">
        <v>141</v>
      </c>
      <c r="E294" s="20" t="s">
        <v>65</v>
      </c>
      <c r="F294" s="13">
        <f>'Приложение_7 '!G191</f>
        <v>447904.42</v>
      </c>
      <c r="G294" s="1"/>
      <c r="I294" s="13">
        <v>487764.42</v>
      </c>
      <c r="J294" s="1"/>
      <c r="L294" s="69">
        <f t="shared" si="6"/>
        <v>-39860</v>
      </c>
      <c r="M294" s="69">
        <f t="shared" si="7"/>
        <v>0</v>
      </c>
    </row>
    <row r="295" spans="1:13" ht="15.75" outlineLevel="6">
      <c r="A295" s="36" t="s">
        <v>888</v>
      </c>
      <c r="B295" s="37" t="s">
        <v>2</v>
      </c>
      <c r="C295" s="37" t="s">
        <v>66</v>
      </c>
      <c r="D295" s="37" t="s">
        <v>889</v>
      </c>
      <c r="E295" s="37" t="s">
        <v>1</v>
      </c>
      <c r="F295" s="13">
        <f>F296</f>
        <v>920000</v>
      </c>
      <c r="G295" s="1"/>
      <c r="I295" s="13"/>
      <c r="J295" s="1"/>
      <c r="L295" s="69"/>
      <c r="M295" s="69"/>
    </row>
    <row r="296" spans="1:13" ht="15.75" outlineLevel="6">
      <c r="A296" s="36" t="s">
        <v>691</v>
      </c>
      <c r="B296" s="37" t="s">
        <v>2</v>
      </c>
      <c r="C296" s="37" t="s">
        <v>66</v>
      </c>
      <c r="D296" s="37" t="s">
        <v>889</v>
      </c>
      <c r="E296" s="37" t="s">
        <v>65</v>
      </c>
      <c r="F296" s="13">
        <f>'Приложение_7 '!G381</f>
        <v>920000</v>
      </c>
      <c r="G296" s="1"/>
      <c r="I296" s="13"/>
      <c r="J296" s="1"/>
      <c r="L296" s="69"/>
      <c r="M296" s="69"/>
    </row>
    <row r="297" spans="1:13" ht="31.5" outlineLevel="5">
      <c r="A297" s="19" t="s">
        <v>448</v>
      </c>
      <c r="B297" s="20" t="s">
        <v>2</v>
      </c>
      <c r="C297" s="20" t="s">
        <v>66</v>
      </c>
      <c r="D297" s="20" t="s">
        <v>142</v>
      </c>
      <c r="E297" s="20" t="s">
        <v>1</v>
      </c>
      <c r="F297" s="13">
        <f>F301+F302+F299+F298+F300</f>
        <v>14358009.75</v>
      </c>
      <c r="G297" s="2"/>
      <c r="I297" s="13">
        <v>8614203.45</v>
      </c>
      <c r="J297" s="2"/>
      <c r="L297" s="69">
        <f t="shared" si="6"/>
        <v>5743806.300000001</v>
      </c>
      <c r="M297" s="69">
        <f t="shared" si="7"/>
        <v>0</v>
      </c>
    </row>
    <row r="298" spans="1:13" ht="78.75" outlineLevel="5">
      <c r="A298" s="103" t="s">
        <v>704</v>
      </c>
      <c r="B298" s="64" t="s">
        <v>2</v>
      </c>
      <c r="C298" s="64" t="s">
        <v>66</v>
      </c>
      <c r="D298" s="64" t="s">
        <v>142</v>
      </c>
      <c r="E298" s="64" t="s">
        <v>10</v>
      </c>
      <c r="F298" s="65">
        <f>'Приложение_7 '!G193+'Приложение_7 '!G685</f>
        <v>32252.02</v>
      </c>
      <c r="G298" s="113"/>
      <c r="I298" s="13"/>
      <c r="J298" s="2"/>
      <c r="L298" s="69"/>
      <c r="M298" s="69"/>
    </row>
    <row r="299" spans="1:13" ht="31.5" outlineLevel="5">
      <c r="A299" s="19" t="s">
        <v>689</v>
      </c>
      <c r="B299" s="20" t="s">
        <v>2</v>
      </c>
      <c r="C299" s="20" t="s">
        <v>66</v>
      </c>
      <c r="D299" s="20" t="s">
        <v>142</v>
      </c>
      <c r="E299" s="20" t="s">
        <v>17</v>
      </c>
      <c r="F299" s="13">
        <f>'Приложение_7 '!G632</f>
        <v>1666722.4199999997</v>
      </c>
      <c r="G299" s="2"/>
      <c r="I299" s="13"/>
      <c r="J299" s="2"/>
      <c r="L299" s="69"/>
      <c r="M299" s="69"/>
    </row>
    <row r="300" spans="1:13" ht="31.5" outlineLevel="5">
      <c r="A300" s="103" t="s">
        <v>690</v>
      </c>
      <c r="B300" s="20" t="s">
        <v>2</v>
      </c>
      <c r="C300" s="20" t="s">
        <v>66</v>
      </c>
      <c r="D300" s="20" t="s">
        <v>142</v>
      </c>
      <c r="E300" s="20" t="s">
        <v>47</v>
      </c>
      <c r="F300" s="13">
        <f>'Приложение_7 '!G194</f>
        <v>29090</v>
      </c>
      <c r="G300" s="2"/>
      <c r="I300" s="13"/>
      <c r="J300" s="2"/>
      <c r="L300" s="69"/>
      <c r="M300" s="69"/>
    </row>
    <row r="301" spans="1:13" ht="31.5" outlineLevel="6">
      <c r="A301" s="19" t="s">
        <v>839</v>
      </c>
      <c r="B301" s="20" t="s">
        <v>2</v>
      </c>
      <c r="C301" s="20" t="s">
        <v>66</v>
      </c>
      <c r="D301" s="20" t="s">
        <v>142</v>
      </c>
      <c r="E301" s="20" t="s">
        <v>143</v>
      </c>
      <c r="F301" s="13">
        <f>'Приложение_7 '!G383</f>
        <v>9289149.63</v>
      </c>
      <c r="G301" s="2"/>
      <c r="I301" s="13">
        <v>8500008.46</v>
      </c>
      <c r="J301" s="2"/>
      <c r="L301" s="69">
        <f t="shared" si="6"/>
        <v>789141.1699999999</v>
      </c>
      <c r="M301" s="69">
        <f t="shared" si="7"/>
        <v>0</v>
      </c>
    </row>
    <row r="302" spans="1:13" ht="15.75" outlineLevel="6">
      <c r="A302" s="19" t="s">
        <v>691</v>
      </c>
      <c r="B302" s="20" t="s">
        <v>2</v>
      </c>
      <c r="C302" s="20" t="s">
        <v>66</v>
      </c>
      <c r="D302" s="20" t="s">
        <v>142</v>
      </c>
      <c r="E302" s="20" t="s">
        <v>65</v>
      </c>
      <c r="F302" s="13">
        <f>'Приложение_7 '!G384+'Приложение_7 '!G633+'Приложение_7 '!G686+'Приложение_7 '!G195</f>
        <v>3340795.6799999997</v>
      </c>
      <c r="G302" s="2"/>
      <c r="I302" s="13">
        <v>114194.99</v>
      </c>
      <c r="J302" s="2"/>
      <c r="L302" s="69">
        <f t="shared" si="6"/>
        <v>3226600.6899999995</v>
      </c>
      <c r="M302" s="69">
        <f t="shared" si="7"/>
        <v>0</v>
      </c>
    </row>
    <row r="303" spans="1:13" s="68" customFormat="1" ht="31.5">
      <c r="A303" s="42" t="s">
        <v>693</v>
      </c>
      <c r="B303" s="43" t="s">
        <v>14</v>
      </c>
      <c r="C303" s="43" t="s">
        <v>3</v>
      </c>
      <c r="D303" s="43" t="s">
        <v>4</v>
      </c>
      <c r="E303" s="43" t="s">
        <v>1</v>
      </c>
      <c r="F303" s="12">
        <f>F304+F311</f>
        <v>44207488.73</v>
      </c>
      <c r="G303" s="12">
        <f>G304+G311</f>
        <v>2669800</v>
      </c>
      <c r="I303" s="12">
        <v>43038816.32</v>
      </c>
      <c r="J303" s="1">
        <f>J304</f>
        <v>2131000</v>
      </c>
      <c r="L303" s="69">
        <f t="shared" si="6"/>
        <v>1168672.4099999964</v>
      </c>
      <c r="M303" s="69">
        <f t="shared" si="7"/>
        <v>538800</v>
      </c>
    </row>
    <row r="304" spans="1:13" s="68" customFormat="1" ht="15.75" outlineLevel="1">
      <c r="A304" s="42" t="s">
        <v>665</v>
      </c>
      <c r="B304" s="43" t="s">
        <v>14</v>
      </c>
      <c r="C304" s="43" t="s">
        <v>22</v>
      </c>
      <c r="D304" s="43" t="s">
        <v>4</v>
      </c>
      <c r="E304" s="43" t="s">
        <v>1</v>
      </c>
      <c r="F304" s="12">
        <f aca="true" t="shared" si="8" ref="F304:G307">F305</f>
        <v>2669800</v>
      </c>
      <c r="G304" s="12">
        <f t="shared" si="8"/>
        <v>2669800</v>
      </c>
      <c r="I304" s="12">
        <v>2131000</v>
      </c>
      <c r="J304" s="12">
        <v>2131000</v>
      </c>
      <c r="L304" s="69">
        <f t="shared" si="6"/>
        <v>538800</v>
      </c>
      <c r="M304" s="69">
        <f t="shared" si="7"/>
        <v>538800</v>
      </c>
    </row>
    <row r="305" spans="1:13" ht="47.25" outlineLevel="2">
      <c r="A305" s="42" t="s">
        <v>652</v>
      </c>
      <c r="B305" s="43" t="s">
        <v>14</v>
      </c>
      <c r="C305" s="43" t="s">
        <v>22</v>
      </c>
      <c r="D305" s="43" t="s">
        <v>6</v>
      </c>
      <c r="E305" s="43" t="s">
        <v>1</v>
      </c>
      <c r="F305" s="12">
        <f t="shared" si="8"/>
        <v>2669800</v>
      </c>
      <c r="G305" s="12">
        <f t="shared" si="8"/>
        <v>2669800</v>
      </c>
      <c r="I305" s="12">
        <v>2131000</v>
      </c>
      <c r="J305" s="12">
        <v>2131000</v>
      </c>
      <c r="L305" s="69">
        <f t="shared" si="6"/>
        <v>538800</v>
      </c>
      <c r="M305" s="69">
        <f t="shared" si="7"/>
        <v>538800</v>
      </c>
    </row>
    <row r="306" spans="1:13" ht="31.5" outlineLevel="3">
      <c r="A306" s="42" t="s">
        <v>612</v>
      </c>
      <c r="B306" s="43" t="s">
        <v>14</v>
      </c>
      <c r="C306" s="43" t="s">
        <v>22</v>
      </c>
      <c r="D306" s="43" t="s">
        <v>43</v>
      </c>
      <c r="E306" s="43" t="s">
        <v>1</v>
      </c>
      <c r="F306" s="12">
        <f t="shared" si="8"/>
        <v>2669800</v>
      </c>
      <c r="G306" s="12">
        <f t="shared" si="8"/>
        <v>2669800</v>
      </c>
      <c r="I306" s="12">
        <v>2131000</v>
      </c>
      <c r="J306" s="12">
        <v>2131000</v>
      </c>
      <c r="L306" s="69">
        <f t="shared" si="6"/>
        <v>538800</v>
      </c>
      <c r="M306" s="69">
        <f t="shared" si="7"/>
        <v>538800</v>
      </c>
    </row>
    <row r="307" spans="1:13" ht="47.25" outlineLevel="4">
      <c r="A307" s="19" t="s">
        <v>525</v>
      </c>
      <c r="B307" s="20" t="s">
        <v>14</v>
      </c>
      <c r="C307" s="20" t="s">
        <v>22</v>
      </c>
      <c r="D307" s="20" t="s">
        <v>144</v>
      </c>
      <c r="E307" s="20" t="s">
        <v>1</v>
      </c>
      <c r="F307" s="13">
        <f t="shared" si="8"/>
        <v>2669800</v>
      </c>
      <c r="G307" s="13">
        <f t="shared" si="8"/>
        <v>2669800</v>
      </c>
      <c r="I307" s="13">
        <v>2131000</v>
      </c>
      <c r="J307" s="13">
        <v>2131000</v>
      </c>
      <c r="L307" s="69">
        <f t="shared" si="6"/>
        <v>538800</v>
      </c>
      <c r="M307" s="69">
        <f t="shared" si="7"/>
        <v>538800</v>
      </c>
    </row>
    <row r="308" spans="1:13" ht="110.25" outlineLevel="5">
      <c r="A308" s="19" t="s">
        <v>449</v>
      </c>
      <c r="B308" s="20" t="s">
        <v>14</v>
      </c>
      <c r="C308" s="20" t="s">
        <v>22</v>
      </c>
      <c r="D308" s="20" t="s">
        <v>145</v>
      </c>
      <c r="E308" s="20" t="s">
        <v>1</v>
      </c>
      <c r="F308" s="13">
        <f>F309+F310</f>
        <v>2669800</v>
      </c>
      <c r="G308" s="13">
        <f>G309+G310</f>
        <v>2669800</v>
      </c>
      <c r="I308" s="13">
        <v>2131000</v>
      </c>
      <c r="J308" s="13">
        <v>2131000</v>
      </c>
      <c r="L308" s="69">
        <f aca="true" t="shared" si="9" ref="L308:L374">F308-I308</f>
        <v>538800</v>
      </c>
      <c r="M308" s="69">
        <f aca="true" t="shared" si="10" ref="M308:M374">G308-J308</f>
        <v>538800</v>
      </c>
    </row>
    <row r="309" spans="1:13" ht="78.75" outlineLevel="6">
      <c r="A309" s="19" t="s">
        <v>704</v>
      </c>
      <c r="B309" s="20" t="s">
        <v>14</v>
      </c>
      <c r="C309" s="20" t="s">
        <v>22</v>
      </c>
      <c r="D309" s="20" t="s">
        <v>145</v>
      </c>
      <c r="E309" s="20" t="s">
        <v>10</v>
      </c>
      <c r="F309" s="13">
        <f>'Приложение_7 '!G202</f>
        <v>2041170.8699999999</v>
      </c>
      <c r="G309" s="13">
        <f>F309</f>
        <v>2041170.8699999999</v>
      </c>
      <c r="I309" s="13">
        <v>1772478.95</v>
      </c>
      <c r="J309" s="13">
        <v>1772478.95</v>
      </c>
      <c r="L309" s="69">
        <f t="shared" si="9"/>
        <v>268691.9199999999</v>
      </c>
      <c r="M309" s="69">
        <f t="shared" si="10"/>
        <v>268691.9199999999</v>
      </c>
    </row>
    <row r="310" spans="1:13" ht="31.5" outlineLevel="6">
      <c r="A310" s="19" t="s">
        <v>689</v>
      </c>
      <c r="B310" s="20" t="s">
        <v>14</v>
      </c>
      <c r="C310" s="20" t="s">
        <v>22</v>
      </c>
      <c r="D310" s="20" t="s">
        <v>145</v>
      </c>
      <c r="E310" s="20" t="s">
        <v>17</v>
      </c>
      <c r="F310" s="13">
        <f>'Приложение_7 '!G203</f>
        <v>628629.1300000001</v>
      </c>
      <c r="G310" s="13">
        <f>F310</f>
        <v>628629.1300000001</v>
      </c>
      <c r="I310" s="13">
        <v>358521.05</v>
      </c>
      <c r="J310" s="13">
        <v>358521.05</v>
      </c>
      <c r="L310" s="69">
        <f t="shared" si="9"/>
        <v>270108.08000000013</v>
      </c>
      <c r="M310" s="69">
        <f t="shared" si="10"/>
        <v>270108.08000000013</v>
      </c>
    </row>
    <row r="311" spans="1:13" s="68" customFormat="1" ht="47.25" outlineLevel="1">
      <c r="A311" s="70" t="s">
        <v>666</v>
      </c>
      <c r="B311" s="71" t="s">
        <v>14</v>
      </c>
      <c r="C311" s="71" t="s">
        <v>146</v>
      </c>
      <c r="D311" s="71" t="s">
        <v>4</v>
      </c>
      <c r="E311" s="71" t="s">
        <v>1</v>
      </c>
      <c r="F311" s="72">
        <f>F312+F337</f>
        <v>41537688.73</v>
      </c>
      <c r="G311" s="73"/>
      <c r="I311" s="72">
        <v>40907816.32</v>
      </c>
      <c r="J311" s="73"/>
      <c r="L311" s="69">
        <f t="shared" si="9"/>
        <v>629872.4099999964</v>
      </c>
      <c r="M311" s="69">
        <f t="shared" si="10"/>
        <v>0</v>
      </c>
    </row>
    <row r="312" spans="1:13" ht="47.25" outlineLevel="2">
      <c r="A312" s="42" t="s">
        <v>654</v>
      </c>
      <c r="B312" s="43" t="s">
        <v>14</v>
      </c>
      <c r="C312" s="43" t="s">
        <v>146</v>
      </c>
      <c r="D312" s="43" t="s">
        <v>71</v>
      </c>
      <c r="E312" s="43" t="s">
        <v>1</v>
      </c>
      <c r="F312" s="12">
        <f>F313+F317</f>
        <v>41213441.68</v>
      </c>
      <c r="G312" s="1"/>
      <c r="I312" s="12">
        <v>40572962.6</v>
      </c>
      <c r="J312" s="1"/>
      <c r="L312" s="69">
        <f t="shared" si="9"/>
        <v>640479.0799999982</v>
      </c>
      <c r="M312" s="69">
        <f t="shared" si="10"/>
        <v>0</v>
      </c>
    </row>
    <row r="313" spans="1:13" ht="47.25" hidden="1" outlineLevel="3">
      <c r="A313" s="42" t="s">
        <v>616</v>
      </c>
      <c r="B313" s="43" t="s">
        <v>14</v>
      </c>
      <c r="C313" s="43" t="s">
        <v>146</v>
      </c>
      <c r="D313" s="43" t="s">
        <v>72</v>
      </c>
      <c r="E313" s="43" t="s">
        <v>1</v>
      </c>
      <c r="F313" s="12">
        <f>F314</f>
        <v>0</v>
      </c>
      <c r="G313" s="1"/>
      <c r="I313" s="12">
        <v>71940</v>
      </c>
      <c r="J313" s="1"/>
      <c r="L313" s="69">
        <f t="shared" si="9"/>
        <v>-71940</v>
      </c>
      <c r="M313" s="69">
        <f t="shared" si="10"/>
        <v>0</v>
      </c>
    </row>
    <row r="314" spans="1:13" ht="78.75" hidden="1" outlineLevel="4">
      <c r="A314" s="19" t="s">
        <v>526</v>
      </c>
      <c r="B314" s="20" t="s">
        <v>14</v>
      </c>
      <c r="C314" s="20" t="s">
        <v>146</v>
      </c>
      <c r="D314" s="20" t="s">
        <v>147</v>
      </c>
      <c r="E314" s="20" t="s">
        <v>1</v>
      </c>
      <c r="F314" s="13">
        <f>F315</f>
        <v>0</v>
      </c>
      <c r="G314" s="2"/>
      <c r="I314" s="13">
        <v>71940</v>
      </c>
      <c r="J314" s="2"/>
      <c r="L314" s="69">
        <f t="shared" si="9"/>
        <v>-71940</v>
      </c>
      <c r="M314" s="69">
        <f t="shared" si="10"/>
        <v>0</v>
      </c>
    </row>
    <row r="315" spans="1:13" ht="31.5" hidden="1" outlineLevel="5">
      <c r="A315" s="19" t="s">
        <v>441</v>
      </c>
      <c r="B315" s="20" t="s">
        <v>14</v>
      </c>
      <c r="C315" s="20" t="s">
        <v>146</v>
      </c>
      <c r="D315" s="20" t="s">
        <v>148</v>
      </c>
      <c r="E315" s="20" t="s">
        <v>1</v>
      </c>
      <c r="F315" s="13">
        <f>F316</f>
        <v>0</v>
      </c>
      <c r="G315" s="2"/>
      <c r="I315" s="13">
        <v>71940</v>
      </c>
      <c r="J315" s="2"/>
      <c r="L315" s="69">
        <f t="shared" si="9"/>
        <v>-71940</v>
      </c>
      <c r="M315" s="69">
        <f t="shared" si="10"/>
        <v>0</v>
      </c>
    </row>
    <row r="316" spans="1:13" ht="31.5" hidden="1" outlineLevel="6">
      <c r="A316" s="19" t="s">
        <v>689</v>
      </c>
      <c r="B316" s="20" t="s">
        <v>14</v>
      </c>
      <c r="C316" s="20" t="s">
        <v>146</v>
      </c>
      <c r="D316" s="20" t="s">
        <v>148</v>
      </c>
      <c r="E316" s="20" t="s">
        <v>17</v>
      </c>
      <c r="F316" s="13">
        <f>'Приложение_7 '!G209</f>
        <v>0</v>
      </c>
      <c r="G316" s="2"/>
      <c r="I316" s="13">
        <v>71940</v>
      </c>
      <c r="J316" s="2"/>
      <c r="L316" s="69">
        <f t="shared" si="9"/>
        <v>-71940</v>
      </c>
      <c r="M316" s="69">
        <f t="shared" si="10"/>
        <v>0</v>
      </c>
    </row>
    <row r="317" spans="1:13" ht="47.25" outlineLevel="3" collapsed="1">
      <c r="A317" s="42" t="s">
        <v>625</v>
      </c>
      <c r="B317" s="43" t="s">
        <v>14</v>
      </c>
      <c r="C317" s="43" t="s">
        <v>146</v>
      </c>
      <c r="D317" s="43" t="s">
        <v>149</v>
      </c>
      <c r="E317" s="43" t="s">
        <v>1</v>
      </c>
      <c r="F317" s="12">
        <f>F318+F321+F328+F331+F334</f>
        <v>41213441.68</v>
      </c>
      <c r="G317" s="1"/>
      <c r="I317" s="12">
        <v>40501022.6</v>
      </c>
      <c r="J317" s="1"/>
      <c r="L317" s="69">
        <f t="shared" si="9"/>
        <v>712419.0799999982</v>
      </c>
      <c r="M317" s="69">
        <f t="shared" si="10"/>
        <v>0</v>
      </c>
    </row>
    <row r="318" spans="1:13" ht="47.25" outlineLevel="4">
      <c r="A318" s="19" t="s">
        <v>527</v>
      </c>
      <c r="B318" s="20" t="s">
        <v>14</v>
      </c>
      <c r="C318" s="20" t="s">
        <v>146</v>
      </c>
      <c r="D318" s="20" t="s">
        <v>150</v>
      </c>
      <c r="E318" s="20" t="s">
        <v>1</v>
      </c>
      <c r="F318" s="13">
        <f>F319</f>
        <v>201386</v>
      </c>
      <c r="G318" s="2"/>
      <c r="I318" s="13">
        <v>190060.8</v>
      </c>
      <c r="J318" s="2"/>
      <c r="L318" s="69">
        <f t="shared" si="9"/>
        <v>11325.200000000012</v>
      </c>
      <c r="M318" s="69">
        <f t="shared" si="10"/>
        <v>0</v>
      </c>
    </row>
    <row r="319" spans="1:13" ht="31.5" outlineLevel="5">
      <c r="A319" s="19" t="s">
        <v>441</v>
      </c>
      <c r="B319" s="20" t="s">
        <v>14</v>
      </c>
      <c r="C319" s="20" t="s">
        <v>146</v>
      </c>
      <c r="D319" s="20" t="s">
        <v>151</v>
      </c>
      <c r="E319" s="20" t="s">
        <v>1</v>
      </c>
      <c r="F319" s="13">
        <f>F320</f>
        <v>201386</v>
      </c>
      <c r="G319" s="2"/>
      <c r="I319" s="13">
        <v>190060.8</v>
      </c>
      <c r="J319" s="2"/>
      <c r="L319" s="69">
        <f t="shared" si="9"/>
        <v>11325.200000000012</v>
      </c>
      <c r="M319" s="69">
        <f t="shared" si="10"/>
        <v>0</v>
      </c>
    </row>
    <row r="320" spans="1:13" ht="31.5" outlineLevel="6">
      <c r="A320" s="19" t="s">
        <v>689</v>
      </c>
      <c r="B320" s="20" t="s">
        <v>14</v>
      </c>
      <c r="C320" s="20" t="s">
        <v>146</v>
      </c>
      <c r="D320" s="20" t="s">
        <v>151</v>
      </c>
      <c r="E320" s="20" t="s">
        <v>17</v>
      </c>
      <c r="F320" s="13">
        <f>'Приложение_7 '!G213</f>
        <v>201386</v>
      </c>
      <c r="G320" s="1"/>
      <c r="I320" s="13">
        <v>190060.8</v>
      </c>
      <c r="J320" s="1"/>
      <c r="L320" s="69">
        <f t="shared" si="9"/>
        <v>11325.200000000012</v>
      </c>
      <c r="M320" s="69">
        <f t="shared" si="10"/>
        <v>0</v>
      </c>
    </row>
    <row r="321" spans="1:13" ht="47.25" outlineLevel="4">
      <c r="A321" s="19" t="s">
        <v>528</v>
      </c>
      <c r="B321" s="20" t="s">
        <v>14</v>
      </c>
      <c r="C321" s="20" t="s">
        <v>146</v>
      </c>
      <c r="D321" s="20" t="s">
        <v>152</v>
      </c>
      <c r="E321" s="20" t="s">
        <v>1</v>
      </c>
      <c r="F321" s="13">
        <f>F322+F326</f>
        <v>36206399.13</v>
      </c>
      <c r="G321" s="1"/>
      <c r="I321" s="13">
        <v>36204544.75</v>
      </c>
      <c r="J321" s="1"/>
      <c r="L321" s="69">
        <f t="shared" si="9"/>
        <v>1854.3800000026822</v>
      </c>
      <c r="M321" s="69">
        <f t="shared" si="10"/>
        <v>0</v>
      </c>
    </row>
    <row r="322" spans="1:13" ht="63" outlineLevel="5">
      <c r="A322" s="19" t="s">
        <v>443</v>
      </c>
      <c r="B322" s="20" t="s">
        <v>14</v>
      </c>
      <c r="C322" s="20" t="s">
        <v>146</v>
      </c>
      <c r="D322" s="20" t="s">
        <v>153</v>
      </c>
      <c r="E322" s="20" t="s">
        <v>1</v>
      </c>
      <c r="F322" s="13">
        <f>F323+F324+F325</f>
        <v>35841124.59</v>
      </c>
      <c r="G322" s="2"/>
      <c r="I322" s="13">
        <v>35616034.75</v>
      </c>
      <c r="J322" s="2"/>
      <c r="L322" s="69">
        <f t="shared" si="9"/>
        <v>225089.84000000358</v>
      </c>
      <c r="M322" s="69">
        <f t="shared" si="10"/>
        <v>0</v>
      </c>
    </row>
    <row r="323" spans="1:13" ht="78.75" outlineLevel="6">
      <c r="A323" s="19" t="s">
        <v>704</v>
      </c>
      <c r="B323" s="20" t="s">
        <v>14</v>
      </c>
      <c r="C323" s="20" t="s">
        <v>146</v>
      </c>
      <c r="D323" s="20" t="s">
        <v>153</v>
      </c>
      <c r="E323" s="20" t="s">
        <v>10</v>
      </c>
      <c r="F323" s="13">
        <f>'Приложение_7 '!G216</f>
        <v>30419837.080000002</v>
      </c>
      <c r="G323" s="2"/>
      <c r="I323" s="13">
        <v>30196601.62</v>
      </c>
      <c r="J323" s="2"/>
      <c r="L323" s="69">
        <f t="shared" si="9"/>
        <v>223235.4600000009</v>
      </c>
      <c r="M323" s="69">
        <f t="shared" si="10"/>
        <v>0</v>
      </c>
    </row>
    <row r="324" spans="1:13" ht="31.5" outlineLevel="6">
      <c r="A324" s="19" t="s">
        <v>689</v>
      </c>
      <c r="B324" s="20" t="s">
        <v>14</v>
      </c>
      <c r="C324" s="20" t="s">
        <v>146</v>
      </c>
      <c r="D324" s="20" t="s">
        <v>153</v>
      </c>
      <c r="E324" s="20" t="s">
        <v>17</v>
      </c>
      <c r="F324" s="13">
        <f>'Приложение_7 '!G217</f>
        <v>5257042.01</v>
      </c>
      <c r="G324" s="2"/>
      <c r="I324" s="13">
        <v>5255187.63</v>
      </c>
      <c r="J324" s="2"/>
      <c r="L324" s="69">
        <f t="shared" si="9"/>
        <v>1854.3799999998882</v>
      </c>
      <c r="M324" s="69">
        <f t="shared" si="10"/>
        <v>0</v>
      </c>
    </row>
    <row r="325" spans="1:13" ht="15.75" outlineLevel="6">
      <c r="A325" s="19" t="s">
        <v>691</v>
      </c>
      <c r="B325" s="20" t="s">
        <v>14</v>
      </c>
      <c r="C325" s="20" t="s">
        <v>146</v>
      </c>
      <c r="D325" s="20" t="s">
        <v>153</v>
      </c>
      <c r="E325" s="20" t="s">
        <v>65</v>
      </c>
      <c r="F325" s="13">
        <f>'Приложение_7 '!G218</f>
        <v>164245.5</v>
      </c>
      <c r="G325" s="2"/>
      <c r="I325" s="13">
        <v>164245.5</v>
      </c>
      <c r="J325" s="2"/>
      <c r="L325" s="69">
        <f t="shared" si="9"/>
        <v>0</v>
      </c>
      <c r="M325" s="69">
        <f t="shared" si="10"/>
        <v>0</v>
      </c>
    </row>
    <row r="326" spans="1:13" ht="63" outlineLevel="5">
      <c r="A326" s="19" t="s">
        <v>432</v>
      </c>
      <c r="B326" s="20" t="s">
        <v>14</v>
      </c>
      <c r="C326" s="20" t="s">
        <v>146</v>
      </c>
      <c r="D326" s="20" t="s">
        <v>154</v>
      </c>
      <c r="E326" s="20" t="s">
        <v>1</v>
      </c>
      <c r="F326" s="13">
        <f>F327</f>
        <v>365274.54000000004</v>
      </c>
      <c r="G326" s="2"/>
      <c r="I326" s="13">
        <v>588510</v>
      </c>
      <c r="J326" s="2"/>
      <c r="L326" s="69">
        <f t="shared" si="9"/>
        <v>-223235.45999999996</v>
      </c>
      <c r="M326" s="69">
        <f t="shared" si="10"/>
        <v>0</v>
      </c>
    </row>
    <row r="327" spans="1:13" ht="78.75" outlineLevel="6">
      <c r="A327" s="19" t="s">
        <v>704</v>
      </c>
      <c r="B327" s="20" t="s">
        <v>14</v>
      </c>
      <c r="C327" s="20" t="s">
        <v>146</v>
      </c>
      <c r="D327" s="20" t="s">
        <v>154</v>
      </c>
      <c r="E327" s="20" t="s">
        <v>10</v>
      </c>
      <c r="F327" s="13">
        <f>'Приложение_7 '!G220</f>
        <v>365274.54000000004</v>
      </c>
      <c r="G327" s="2"/>
      <c r="I327" s="13">
        <v>588510</v>
      </c>
      <c r="J327" s="2"/>
      <c r="L327" s="69">
        <f t="shared" si="9"/>
        <v>-223235.45999999996</v>
      </c>
      <c r="M327" s="69">
        <f t="shared" si="10"/>
        <v>0</v>
      </c>
    </row>
    <row r="328" spans="1:13" ht="15.75" outlineLevel="4">
      <c r="A328" s="19" t="s">
        <v>529</v>
      </c>
      <c r="B328" s="20" t="s">
        <v>14</v>
      </c>
      <c r="C328" s="20" t="s">
        <v>146</v>
      </c>
      <c r="D328" s="20" t="s">
        <v>155</v>
      </c>
      <c r="E328" s="20" t="s">
        <v>1</v>
      </c>
      <c r="F328" s="13">
        <f>F329</f>
        <v>1075656.55</v>
      </c>
      <c r="G328" s="2"/>
      <c r="I328" s="13">
        <v>1106417.05</v>
      </c>
      <c r="J328" s="2"/>
      <c r="L328" s="69">
        <f t="shared" si="9"/>
        <v>-30760.5</v>
      </c>
      <c r="M328" s="69">
        <f t="shared" si="10"/>
        <v>0</v>
      </c>
    </row>
    <row r="329" spans="1:13" ht="31.5" outlineLevel="5">
      <c r="A329" s="19" t="s">
        <v>441</v>
      </c>
      <c r="B329" s="20" t="s">
        <v>14</v>
      </c>
      <c r="C329" s="20" t="s">
        <v>146</v>
      </c>
      <c r="D329" s="20" t="s">
        <v>156</v>
      </c>
      <c r="E329" s="20" t="s">
        <v>1</v>
      </c>
      <c r="F329" s="13">
        <f>F330</f>
        <v>1075656.55</v>
      </c>
      <c r="G329" s="1"/>
      <c r="I329" s="13">
        <v>1106417.05</v>
      </c>
      <c r="J329" s="1"/>
      <c r="L329" s="69">
        <f t="shared" si="9"/>
        <v>-30760.5</v>
      </c>
      <c r="M329" s="69">
        <f t="shared" si="10"/>
        <v>0</v>
      </c>
    </row>
    <row r="330" spans="1:13" ht="31.5" outlineLevel="6">
      <c r="A330" s="19" t="s">
        <v>689</v>
      </c>
      <c r="B330" s="20" t="s">
        <v>14</v>
      </c>
      <c r="C330" s="20" t="s">
        <v>146</v>
      </c>
      <c r="D330" s="20" t="s">
        <v>156</v>
      </c>
      <c r="E330" s="20" t="s">
        <v>17</v>
      </c>
      <c r="F330" s="13">
        <f>'Приложение_7 '!G223</f>
        <v>1075656.55</v>
      </c>
      <c r="G330" s="2"/>
      <c r="I330" s="13">
        <v>1106417.05</v>
      </c>
      <c r="J330" s="2"/>
      <c r="L330" s="69">
        <f t="shared" si="9"/>
        <v>-30760.5</v>
      </c>
      <c r="M330" s="69">
        <f t="shared" si="10"/>
        <v>0</v>
      </c>
    </row>
    <row r="331" spans="1:13" ht="63" outlineLevel="4">
      <c r="A331" s="19" t="s">
        <v>530</v>
      </c>
      <c r="B331" s="20" t="s">
        <v>14</v>
      </c>
      <c r="C331" s="20" t="s">
        <v>146</v>
      </c>
      <c r="D331" s="20" t="s">
        <v>157</v>
      </c>
      <c r="E331" s="20" t="s">
        <v>1</v>
      </c>
      <c r="F331" s="13">
        <f>F332</f>
        <v>3000000</v>
      </c>
      <c r="G331" s="2"/>
      <c r="I331" s="13">
        <v>3000000</v>
      </c>
      <c r="J331" s="2"/>
      <c r="L331" s="69">
        <f t="shared" si="9"/>
        <v>0</v>
      </c>
      <c r="M331" s="69">
        <f t="shared" si="10"/>
        <v>0</v>
      </c>
    </row>
    <row r="332" spans="1:13" ht="31.5" outlineLevel="5">
      <c r="A332" s="19" t="s">
        <v>441</v>
      </c>
      <c r="B332" s="20" t="s">
        <v>14</v>
      </c>
      <c r="C332" s="20" t="s">
        <v>146</v>
      </c>
      <c r="D332" s="20" t="s">
        <v>158</v>
      </c>
      <c r="E332" s="20" t="s">
        <v>1</v>
      </c>
      <c r="F332" s="13">
        <f>F333</f>
        <v>3000000</v>
      </c>
      <c r="G332" s="2"/>
      <c r="I332" s="13">
        <v>3000000</v>
      </c>
      <c r="J332" s="2"/>
      <c r="L332" s="69">
        <f t="shared" si="9"/>
        <v>0</v>
      </c>
      <c r="M332" s="69">
        <f t="shared" si="10"/>
        <v>0</v>
      </c>
    </row>
    <row r="333" spans="1:13" ht="31.5" outlineLevel="6">
      <c r="A333" s="19" t="s">
        <v>689</v>
      </c>
      <c r="B333" s="20" t="s">
        <v>14</v>
      </c>
      <c r="C333" s="20" t="s">
        <v>146</v>
      </c>
      <c r="D333" s="20" t="s">
        <v>158</v>
      </c>
      <c r="E333" s="20" t="s">
        <v>17</v>
      </c>
      <c r="F333" s="13">
        <f>'Приложение_7 '!G226</f>
        <v>3000000</v>
      </c>
      <c r="G333" s="2"/>
      <c r="I333" s="13">
        <v>3000000</v>
      </c>
      <c r="J333" s="2"/>
      <c r="L333" s="69">
        <f t="shared" si="9"/>
        <v>0</v>
      </c>
      <c r="M333" s="69">
        <f t="shared" si="10"/>
        <v>0</v>
      </c>
    </row>
    <row r="334" spans="1:13" ht="47.25" outlineLevel="6">
      <c r="A334" s="36" t="s">
        <v>911</v>
      </c>
      <c r="B334" s="37" t="s">
        <v>14</v>
      </c>
      <c r="C334" s="37" t="s">
        <v>146</v>
      </c>
      <c r="D334" s="37" t="s">
        <v>912</v>
      </c>
      <c r="E334" s="37" t="s">
        <v>1</v>
      </c>
      <c r="F334" s="13">
        <f>F335</f>
        <v>730000</v>
      </c>
      <c r="G334" s="2"/>
      <c r="I334" s="13"/>
      <c r="J334" s="2"/>
      <c r="L334" s="69"/>
      <c r="M334" s="69"/>
    </row>
    <row r="335" spans="1:13" ht="31.5" outlineLevel="6">
      <c r="A335" s="36" t="s">
        <v>441</v>
      </c>
      <c r="B335" s="37" t="s">
        <v>14</v>
      </c>
      <c r="C335" s="37" t="s">
        <v>146</v>
      </c>
      <c r="D335" s="37" t="s">
        <v>913</v>
      </c>
      <c r="E335" s="37" t="s">
        <v>1</v>
      </c>
      <c r="F335" s="13">
        <f>F336</f>
        <v>730000</v>
      </c>
      <c r="G335" s="2"/>
      <c r="I335" s="13"/>
      <c r="J335" s="2"/>
      <c r="L335" s="69"/>
      <c r="M335" s="69"/>
    </row>
    <row r="336" spans="1:13" ht="31.5" outlineLevel="6">
      <c r="A336" s="36" t="s">
        <v>689</v>
      </c>
      <c r="B336" s="37" t="s">
        <v>14</v>
      </c>
      <c r="C336" s="37" t="s">
        <v>146</v>
      </c>
      <c r="D336" s="37" t="s">
        <v>913</v>
      </c>
      <c r="E336" s="37" t="s">
        <v>17</v>
      </c>
      <c r="F336" s="13">
        <f>'Приложение_7 '!G229</f>
        <v>730000</v>
      </c>
      <c r="G336" s="2"/>
      <c r="I336" s="13"/>
      <c r="J336" s="2"/>
      <c r="L336" s="69"/>
      <c r="M336" s="69"/>
    </row>
    <row r="337" spans="1:13" ht="31.5" outlineLevel="2">
      <c r="A337" s="42" t="s">
        <v>655</v>
      </c>
      <c r="B337" s="43" t="s">
        <v>14</v>
      </c>
      <c r="C337" s="43" t="s">
        <v>146</v>
      </c>
      <c r="D337" s="43" t="s">
        <v>90</v>
      </c>
      <c r="E337" s="43" t="s">
        <v>1</v>
      </c>
      <c r="F337" s="12">
        <f>F338</f>
        <v>324247.05</v>
      </c>
      <c r="G337" s="1"/>
      <c r="I337" s="12">
        <v>334853.72</v>
      </c>
      <c r="J337" s="1"/>
      <c r="L337" s="69">
        <f t="shared" si="9"/>
        <v>-10606.669999999984</v>
      </c>
      <c r="M337" s="69">
        <f t="shared" si="10"/>
        <v>0</v>
      </c>
    </row>
    <row r="338" spans="1:13" ht="47.25" outlineLevel="3">
      <c r="A338" s="42" t="s">
        <v>620</v>
      </c>
      <c r="B338" s="43" t="s">
        <v>14</v>
      </c>
      <c r="C338" s="43" t="s">
        <v>146</v>
      </c>
      <c r="D338" s="43" t="s">
        <v>91</v>
      </c>
      <c r="E338" s="43" t="s">
        <v>1</v>
      </c>
      <c r="F338" s="12">
        <f>F339</f>
        <v>324247.05</v>
      </c>
      <c r="G338" s="1"/>
      <c r="I338" s="12">
        <v>334853.72</v>
      </c>
      <c r="J338" s="1"/>
      <c r="L338" s="69">
        <f t="shared" si="9"/>
        <v>-10606.669999999984</v>
      </c>
      <c r="M338" s="69">
        <f t="shared" si="10"/>
        <v>0</v>
      </c>
    </row>
    <row r="339" spans="1:13" ht="31.5" outlineLevel="4">
      <c r="A339" s="19" t="s">
        <v>510</v>
      </c>
      <c r="B339" s="20" t="s">
        <v>14</v>
      </c>
      <c r="C339" s="20" t="s">
        <v>146</v>
      </c>
      <c r="D339" s="20" t="s">
        <v>100</v>
      </c>
      <c r="E339" s="20" t="s">
        <v>1</v>
      </c>
      <c r="F339" s="13">
        <f>F340</f>
        <v>324247.05</v>
      </c>
      <c r="G339" s="2"/>
      <c r="I339" s="13">
        <v>334853.72</v>
      </c>
      <c r="J339" s="2"/>
      <c r="L339" s="69">
        <f t="shared" si="9"/>
        <v>-10606.669999999984</v>
      </c>
      <c r="M339" s="69">
        <f t="shared" si="10"/>
        <v>0</v>
      </c>
    </row>
    <row r="340" spans="1:13" ht="31.5" outlineLevel="5">
      <c r="A340" s="19" t="s">
        <v>441</v>
      </c>
      <c r="B340" s="20" t="s">
        <v>14</v>
      </c>
      <c r="C340" s="20" t="s">
        <v>146</v>
      </c>
      <c r="D340" s="20" t="s">
        <v>101</v>
      </c>
      <c r="E340" s="20" t="s">
        <v>1</v>
      </c>
      <c r="F340" s="13">
        <f>F341</f>
        <v>324247.05</v>
      </c>
      <c r="G340" s="2"/>
      <c r="I340" s="13">
        <v>334853.72</v>
      </c>
      <c r="J340" s="2"/>
      <c r="L340" s="69">
        <f t="shared" si="9"/>
        <v>-10606.669999999984</v>
      </c>
      <c r="M340" s="69">
        <f t="shared" si="10"/>
        <v>0</v>
      </c>
    </row>
    <row r="341" spans="1:13" ht="31.5" outlineLevel="6">
      <c r="A341" s="19" t="s">
        <v>689</v>
      </c>
      <c r="B341" s="20" t="s">
        <v>14</v>
      </c>
      <c r="C341" s="20" t="s">
        <v>146</v>
      </c>
      <c r="D341" s="20" t="s">
        <v>101</v>
      </c>
      <c r="E341" s="20" t="s">
        <v>17</v>
      </c>
      <c r="F341" s="13">
        <f>'Приложение_7 '!G234</f>
        <v>324247.05</v>
      </c>
      <c r="G341" s="2"/>
      <c r="I341" s="13">
        <v>334853.72</v>
      </c>
      <c r="J341" s="2"/>
      <c r="L341" s="69">
        <f t="shared" si="9"/>
        <v>-10606.669999999984</v>
      </c>
      <c r="M341" s="69">
        <f t="shared" si="10"/>
        <v>0</v>
      </c>
    </row>
    <row r="342" spans="1:13" s="68" customFormat="1" ht="15.75">
      <c r="A342" s="42" t="s">
        <v>694</v>
      </c>
      <c r="B342" s="43" t="s">
        <v>22</v>
      </c>
      <c r="C342" s="43" t="s">
        <v>3</v>
      </c>
      <c r="D342" s="43" t="s">
        <v>4</v>
      </c>
      <c r="E342" s="43" t="s">
        <v>1</v>
      </c>
      <c r="F342" s="12">
        <f>F343+F351+F364+F397+F416</f>
        <v>190717016.52</v>
      </c>
      <c r="G342" s="12">
        <f>G343+G351+G364+G397+G416</f>
        <v>25048985.12</v>
      </c>
      <c r="I342" s="12">
        <v>182565485.15</v>
      </c>
      <c r="J342" s="1">
        <f>J344+J351+J364+J397+J416</f>
        <v>4682946.8</v>
      </c>
      <c r="L342" s="69">
        <f t="shared" si="9"/>
        <v>8151531.370000005</v>
      </c>
      <c r="M342" s="69">
        <f t="shared" si="10"/>
        <v>20366038.32</v>
      </c>
    </row>
    <row r="343" spans="1:13" s="68" customFormat="1" ht="15.75" outlineLevel="1">
      <c r="A343" s="42" t="s">
        <v>667</v>
      </c>
      <c r="B343" s="43" t="s">
        <v>22</v>
      </c>
      <c r="C343" s="43" t="s">
        <v>159</v>
      </c>
      <c r="D343" s="43" t="s">
        <v>4</v>
      </c>
      <c r="E343" s="43" t="s">
        <v>1</v>
      </c>
      <c r="F343" s="12">
        <f aca="true" t="shared" si="11" ref="F343:G345">F344</f>
        <v>3608380</v>
      </c>
      <c r="G343" s="12">
        <f t="shared" si="11"/>
        <v>3608380</v>
      </c>
      <c r="I343" s="12">
        <v>3608380</v>
      </c>
      <c r="J343" s="1">
        <f>I343</f>
        <v>3608380</v>
      </c>
      <c r="L343" s="69">
        <f t="shared" si="9"/>
        <v>0</v>
      </c>
      <c r="M343" s="69">
        <f t="shared" si="10"/>
        <v>0</v>
      </c>
    </row>
    <row r="344" spans="1:13" ht="63" outlineLevel="2">
      <c r="A344" s="42" t="s">
        <v>656</v>
      </c>
      <c r="B344" s="43" t="s">
        <v>22</v>
      </c>
      <c r="C344" s="43" t="s">
        <v>159</v>
      </c>
      <c r="D344" s="43" t="s">
        <v>160</v>
      </c>
      <c r="E344" s="43" t="s">
        <v>1</v>
      </c>
      <c r="F344" s="12">
        <f t="shared" si="11"/>
        <v>3608380</v>
      </c>
      <c r="G344" s="12">
        <f t="shared" si="11"/>
        <v>3608380</v>
      </c>
      <c r="I344" s="12">
        <v>3608380</v>
      </c>
      <c r="J344" s="12">
        <v>3608380</v>
      </c>
      <c r="L344" s="69">
        <f t="shared" si="9"/>
        <v>0</v>
      </c>
      <c r="M344" s="69">
        <f t="shared" si="10"/>
        <v>0</v>
      </c>
    </row>
    <row r="345" spans="1:13" ht="47.25" outlineLevel="3">
      <c r="A345" s="42" t="s">
        <v>626</v>
      </c>
      <c r="B345" s="43" t="s">
        <v>22</v>
      </c>
      <c r="C345" s="43" t="s">
        <v>159</v>
      </c>
      <c r="D345" s="43" t="s">
        <v>161</v>
      </c>
      <c r="E345" s="43" t="s">
        <v>1</v>
      </c>
      <c r="F345" s="12">
        <f t="shared" si="11"/>
        <v>3608380</v>
      </c>
      <c r="G345" s="12">
        <f t="shared" si="11"/>
        <v>3608380</v>
      </c>
      <c r="I345" s="12">
        <v>3608380</v>
      </c>
      <c r="J345" s="12">
        <v>3608380</v>
      </c>
      <c r="L345" s="69">
        <f t="shared" si="9"/>
        <v>0</v>
      </c>
      <c r="M345" s="69">
        <f t="shared" si="10"/>
        <v>0</v>
      </c>
    </row>
    <row r="346" spans="1:13" ht="31.5" outlineLevel="4">
      <c r="A346" s="19" t="s">
        <v>531</v>
      </c>
      <c r="B346" s="20" t="s">
        <v>22</v>
      </c>
      <c r="C346" s="20" t="s">
        <v>159</v>
      </c>
      <c r="D346" s="20" t="s">
        <v>162</v>
      </c>
      <c r="E346" s="20" t="s">
        <v>1</v>
      </c>
      <c r="F346" s="13">
        <f>F347+F349</f>
        <v>3608380</v>
      </c>
      <c r="G346" s="13">
        <f>G347+G349</f>
        <v>3608380</v>
      </c>
      <c r="I346" s="13">
        <v>3608380</v>
      </c>
      <c r="J346" s="13">
        <v>3608380</v>
      </c>
      <c r="L346" s="69">
        <f t="shared" si="9"/>
        <v>0</v>
      </c>
      <c r="M346" s="69">
        <f t="shared" si="10"/>
        <v>0</v>
      </c>
    </row>
    <row r="347" spans="1:13" ht="31.5" outlineLevel="5">
      <c r="A347" s="19" t="s">
        <v>450</v>
      </c>
      <c r="B347" s="20" t="s">
        <v>22</v>
      </c>
      <c r="C347" s="20" t="s">
        <v>159</v>
      </c>
      <c r="D347" s="20" t="s">
        <v>163</v>
      </c>
      <c r="E347" s="20" t="s">
        <v>1</v>
      </c>
      <c r="F347" s="13">
        <f>F348</f>
        <v>3590760</v>
      </c>
      <c r="G347" s="13">
        <f>G348</f>
        <v>3590760</v>
      </c>
      <c r="I347" s="13">
        <v>3590760</v>
      </c>
      <c r="J347" s="13">
        <v>3590760</v>
      </c>
      <c r="L347" s="69">
        <f t="shared" si="9"/>
        <v>0</v>
      </c>
      <c r="M347" s="69">
        <f t="shared" si="10"/>
        <v>0</v>
      </c>
    </row>
    <row r="348" spans="1:13" ht="31.5" outlineLevel="6">
      <c r="A348" s="19" t="s">
        <v>689</v>
      </c>
      <c r="B348" s="20" t="s">
        <v>22</v>
      </c>
      <c r="C348" s="20" t="s">
        <v>159</v>
      </c>
      <c r="D348" s="20" t="s">
        <v>163</v>
      </c>
      <c r="E348" s="20" t="s">
        <v>17</v>
      </c>
      <c r="F348" s="13">
        <f>'Приложение_7 '!G391</f>
        <v>3590760</v>
      </c>
      <c r="G348" s="13">
        <f>F348</f>
        <v>3590760</v>
      </c>
      <c r="I348" s="13">
        <v>3590760</v>
      </c>
      <c r="J348" s="13">
        <v>3590760</v>
      </c>
      <c r="L348" s="69">
        <f t="shared" si="9"/>
        <v>0</v>
      </c>
      <c r="M348" s="69">
        <f t="shared" si="10"/>
        <v>0</v>
      </c>
    </row>
    <row r="349" spans="1:13" ht="63" outlineLevel="5">
      <c r="A349" s="19" t="s">
        <v>451</v>
      </c>
      <c r="B349" s="20" t="s">
        <v>22</v>
      </c>
      <c r="C349" s="20" t="s">
        <v>159</v>
      </c>
      <c r="D349" s="20" t="s">
        <v>164</v>
      </c>
      <c r="E349" s="20" t="s">
        <v>1</v>
      </c>
      <c r="F349" s="13">
        <f>F350</f>
        <v>17620</v>
      </c>
      <c r="G349" s="13">
        <f>G350</f>
        <v>17620</v>
      </c>
      <c r="I349" s="13">
        <v>17620</v>
      </c>
      <c r="J349" s="13">
        <v>17620</v>
      </c>
      <c r="L349" s="69">
        <f t="shared" si="9"/>
        <v>0</v>
      </c>
      <c r="M349" s="69">
        <f t="shared" si="10"/>
        <v>0</v>
      </c>
    </row>
    <row r="350" spans="1:13" ht="31.5" outlineLevel="6">
      <c r="A350" s="19" t="s">
        <v>689</v>
      </c>
      <c r="B350" s="20" t="s">
        <v>22</v>
      </c>
      <c r="C350" s="20" t="s">
        <v>159</v>
      </c>
      <c r="D350" s="20" t="s">
        <v>164</v>
      </c>
      <c r="E350" s="20" t="s">
        <v>17</v>
      </c>
      <c r="F350" s="13">
        <f>'Приложение_7 '!G393</f>
        <v>17620</v>
      </c>
      <c r="G350" s="13">
        <f>F350</f>
        <v>17620</v>
      </c>
      <c r="I350" s="13">
        <v>17620</v>
      </c>
      <c r="J350" s="13">
        <v>17620</v>
      </c>
      <c r="L350" s="69">
        <f t="shared" si="9"/>
        <v>0</v>
      </c>
      <c r="M350" s="69">
        <f t="shared" si="10"/>
        <v>0</v>
      </c>
    </row>
    <row r="351" spans="1:13" s="68" customFormat="1" ht="15.75" outlineLevel="1">
      <c r="A351" s="42" t="s">
        <v>668</v>
      </c>
      <c r="B351" s="43" t="s">
        <v>22</v>
      </c>
      <c r="C351" s="43" t="s">
        <v>165</v>
      </c>
      <c r="D351" s="43" t="s">
        <v>4</v>
      </c>
      <c r="E351" s="43" t="s">
        <v>1</v>
      </c>
      <c r="F351" s="12">
        <f>F352</f>
        <v>23557941.080000002</v>
      </c>
      <c r="G351" s="12">
        <f>G352</f>
        <v>1038366.8</v>
      </c>
      <c r="I351" s="12">
        <v>27473341.8</v>
      </c>
      <c r="J351" s="1">
        <f>J352</f>
        <v>1038366.8</v>
      </c>
      <c r="L351" s="69">
        <f t="shared" si="9"/>
        <v>-3915400.719999999</v>
      </c>
      <c r="M351" s="69">
        <f t="shared" si="10"/>
        <v>0</v>
      </c>
    </row>
    <row r="352" spans="1:13" ht="63" outlineLevel="2">
      <c r="A352" s="42" t="s">
        <v>656</v>
      </c>
      <c r="B352" s="43" t="s">
        <v>22</v>
      </c>
      <c r="C352" s="43" t="s">
        <v>165</v>
      </c>
      <c r="D352" s="43" t="s">
        <v>160</v>
      </c>
      <c r="E352" s="43" t="s">
        <v>1</v>
      </c>
      <c r="F352" s="12">
        <f>F353</f>
        <v>23557941.080000002</v>
      </c>
      <c r="G352" s="1">
        <f>G353</f>
        <v>1038366.8</v>
      </c>
      <c r="I352" s="12">
        <v>27473341.8</v>
      </c>
      <c r="J352" s="1">
        <f>J353</f>
        <v>1038366.8</v>
      </c>
      <c r="L352" s="69">
        <f t="shared" si="9"/>
        <v>-3915400.719999999</v>
      </c>
      <c r="M352" s="69">
        <f t="shared" si="10"/>
        <v>0</v>
      </c>
    </row>
    <row r="353" spans="1:13" ht="31.5" outlineLevel="3">
      <c r="A353" s="42" t="s">
        <v>627</v>
      </c>
      <c r="B353" s="43" t="s">
        <v>22</v>
      </c>
      <c r="C353" s="43" t="s">
        <v>165</v>
      </c>
      <c r="D353" s="43" t="s">
        <v>166</v>
      </c>
      <c r="E353" s="43" t="s">
        <v>1</v>
      </c>
      <c r="F353" s="12">
        <f>F354+F357+F360</f>
        <v>23557941.080000002</v>
      </c>
      <c r="G353" s="12">
        <f>G354+G357+G360</f>
        <v>1038366.8</v>
      </c>
      <c r="I353" s="12">
        <v>27473341.8</v>
      </c>
      <c r="J353" s="1">
        <f>J357</f>
        <v>1038366.8</v>
      </c>
      <c r="L353" s="69">
        <f t="shared" si="9"/>
        <v>-3915400.719999999</v>
      </c>
      <c r="M353" s="69">
        <f t="shared" si="10"/>
        <v>0</v>
      </c>
    </row>
    <row r="354" spans="1:13" ht="63" outlineLevel="4">
      <c r="A354" s="19" t="s">
        <v>532</v>
      </c>
      <c r="B354" s="20" t="s">
        <v>22</v>
      </c>
      <c r="C354" s="20" t="s">
        <v>165</v>
      </c>
      <c r="D354" s="20" t="s">
        <v>167</v>
      </c>
      <c r="E354" s="20" t="s">
        <v>1</v>
      </c>
      <c r="F354" s="13">
        <f>F355</f>
        <v>18893000</v>
      </c>
      <c r="G354" s="2"/>
      <c r="I354" s="13">
        <v>18893000</v>
      </c>
      <c r="J354" s="2"/>
      <c r="L354" s="69">
        <f t="shared" si="9"/>
        <v>0</v>
      </c>
      <c r="M354" s="69">
        <f t="shared" si="10"/>
        <v>0</v>
      </c>
    </row>
    <row r="355" spans="1:13" ht="47.25" outlineLevel="5">
      <c r="A355" s="19" t="s">
        <v>452</v>
      </c>
      <c r="B355" s="20" t="s">
        <v>22</v>
      </c>
      <c r="C355" s="20" t="s">
        <v>165</v>
      </c>
      <c r="D355" s="20" t="s">
        <v>168</v>
      </c>
      <c r="E355" s="20" t="s">
        <v>1</v>
      </c>
      <c r="F355" s="13">
        <f>F356</f>
        <v>18893000</v>
      </c>
      <c r="G355" s="2"/>
      <c r="I355" s="13">
        <v>18893000</v>
      </c>
      <c r="J355" s="2"/>
      <c r="L355" s="69">
        <f t="shared" si="9"/>
        <v>0</v>
      </c>
      <c r="M355" s="69">
        <f t="shared" si="10"/>
        <v>0</v>
      </c>
    </row>
    <row r="356" spans="1:13" ht="15.75" outlineLevel="6">
      <c r="A356" s="19" t="s">
        <v>691</v>
      </c>
      <c r="B356" s="20" t="s">
        <v>22</v>
      </c>
      <c r="C356" s="20" t="s">
        <v>165</v>
      </c>
      <c r="D356" s="20" t="s">
        <v>168</v>
      </c>
      <c r="E356" s="20" t="s">
        <v>65</v>
      </c>
      <c r="F356" s="13">
        <f>'Приложение_7 '!G241</f>
        <v>18893000</v>
      </c>
      <c r="G356" s="2"/>
      <c r="I356" s="13">
        <v>18893000</v>
      </c>
      <c r="J356" s="2"/>
      <c r="L356" s="69">
        <f t="shared" si="9"/>
        <v>0</v>
      </c>
      <c r="M356" s="69">
        <f t="shared" si="10"/>
        <v>0</v>
      </c>
    </row>
    <row r="357" spans="1:13" ht="78.75" outlineLevel="4">
      <c r="A357" s="19" t="s">
        <v>533</v>
      </c>
      <c r="B357" s="20" t="s">
        <v>22</v>
      </c>
      <c r="C357" s="20" t="s">
        <v>165</v>
      </c>
      <c r="D357" s="20" t="s">
        <v>169</v>
      </c>
      <c r="E357" s="20" t="s">
        <v>1</v>
      </c>
      <c r="F357" s="13">
        <f>F358</f>
        <v>1038366.8</v>
      </c>
      <c r="G357" s="13">
        <f>G358</f>
        <v>1038366.8</v>
      </c>
      <c r="I357" s="13">
        <v>1038366.8</v>
      </c>
      <c r="J357" s="13">
        <v>1038366.8</v>
      </c>
      <c r="L357" s="69">
        <f t="shared" si="9"/>
        <v>0</v>
      </c>
      <c r="M357" s="69">
        <f t="shared" si="10"/>
        <v>0</v>
      </c>
    </row>
    <row r="358" spans="1:13" ht="94.5" outlineLevel="5">
      <c r="A358" s="19" t="s">
        <v>453</v>
      </c>
      <c r="B358" s="20" t="s">
        <v>22</v>
      </c>
      <c r="C358" s="20" t="s">
        <v>165</v>
      </c>
      <c r="D358" s="20" t="s">
        <v>170</v>
      </c>
      <c r="E358" s="20" t="s">
        <v>1</v>
      </c>
      <c r="F358" s="13">
        <f>F359</f>
        <v>1038366.8</v>
      </c>
      <c r="G358" s="13">
        <f>G359</f>
        <v>1038366.8</v>
      </c>
      <c r="I358" s="13">
        <v>1038366.8</v>
      </c>
      <c r="J358" s="13">
        <v>1038366.8</v>
      </c>
      <c r="L358" s="69">
        <f t="shared" si="9"/>
        <v>0</v>
      </c>
      <c r="M358" s="69">
        <f t="shared" si="10"/>
        <v>0</v>
      </c>
    </row>
    <row r="359" spans="1:13" ht="29.25" customHeight="1" outlineLevel="6">
      <c r="A359" s="19" t="s">
        <v>691</v>
      </c>
      <c r="B359" s="20" t="s">
        <v>22</v>
      </c>
      <c r="C359" s="20" t="s">
        <v>165</v>
      </c>
      <c r="D359" s="20" t="s">
        <v>170</v>
      </c>
      <c r="E359" s="20" t="s">
        <v>65</v>
      </c>
      <c r="F359" s="13">
        <f>'Приложение_7 '!G244</f>
        <v>1038366.8</v>
      </c>
      <c r="G359" s="13">
        <f>F359</f>
        <v>1038366.8</v>
      </c>
      <c r="I359" s="13">
        <v>1038366.8</v>
      </c>
      <c r="J359" s="13">
        <v>1038366.8</v>
      </c>
      <c r="L359" s="69">
        <f t="shared" si="9"/>
        <v>0</v>
      </c>
      <c r="M359" s="69">
        <f t="shared" si="10"/>
        <v>0</v>
      </c>
    </row>
    <row r="360" spans="1:13" ht="15.75" outlineLevel="4">
      <c r="A360" s="19" t="s">
        <v>534</v>
      </c>
      <c r="B360" s="20" t="s">
        <v>22</v>
      </c>
      <c r="C360" s="20" t="s">
        <v>165</v>
      </c>
      <c r="D360" s="20" t="s">
        <v>171</v>
      </c>
      <c r="E360" s="20" t="s">
        <v>1</v>
      </c>
      <c r="F360" s="13">
        <f>F361</f>
        <v>3626574.28</v>
      </c>
      <c r="G360" s="2"/>
      <c r="I360" s="13">
        <v>7541975</v>
      </c>
      <c r="J360" s="2"/>
      <c r="L360" s="69">
        <f t="shared" si="9"/>
        <v>-3915400.72</v>
      </c>
      <c r="M360" s="69">
        <f t="shared" si="10"/>
        <v>0</v>
      </c>
    </row>
    <row r="361" spans="1:13" ht="31.5" outlineLevel="5">
      <c r="A361" s="19" t="s">
        <v>441</v>
      </c>
      <c r="B361" s="20" t="s">
        <v>22</v>
      </c>
      <c r="C361" s="20" t="s">
        <v>165</v>
      </c>
      <c r="D361" s="20" t="s">
        <v>172</v>
      </c>
      <c r="E361" s="20" t="s">
        <v>1</v>
      </c>
      <c r="F361" s="13">
        <f>F362+F363</f>
        <v>3626574.28</v>
      </c>
      <c r="G361" s="2"/>
      <c r="I361" s="13">
        <v>7541975</v>
      </c>
      <c r="J361" s="2"/>
      <c r="L361" s="69">
        <f t="shared" si="9"/>
        <v>-3915400.72</v>
      </c>
      <c r="M361" s="69">
        <f t="shared" si="10"/>
        <v>0</v>
      </c>
    </row>
    <row r="362" spans="1:13" ht="31.5" outlineLevel="6">
      <c r="A362" s="19" t="s">
        <v>689</v>
      </c>
      <c r="B362" s="20" t="s">
        <v>22</v>
      </c>
      <c r="C362" s="20" t="s">
        <v>165</v>
      </c>
      <c r="D362" s="20" t="s">
        <v>172</v>
      </c>
      <c r="E362" s="20" t="s">
        <v>17</v>
      </c>
      <c r="F362" s="13">
        <f>'Приложение_7 '!G247</f>
        <v>3623574.28</v>
      </c>
      <c r="G362" s="2"/>
      <c r="I362" s="13">
        <v>7531975</v>
      </c>
      <c r="J362" s="2"/>
      <c r="L362" s="69">
        <f t="shared" si="9"/>
        <v>-3908400.72</v>
      </c>
      <c r="M362" s="69">
        <f t="shared" si="10"/>
        <v>0</v>
      </c>
    </row>
    <row r="363" spans="1:13" ht="15.75" outlineLevel="6">
      <c r="A363" s="19" t="s">
        <v>691</v>
      </c>
      <c r="B363" s="20" t="s">
        <v>22</v>
      </c>
      <c r="C363" s="20" t="s">
        <v>165</v>
      </c>
      <c r="D363" s="20" t="s">
        <v>172</v>
      </c>
      <c r="E363" s="20" t="s">
        <v>65</v>
      </c>
      <c r="F363" s="13">
        <f>'Приложение_7 '!G248</f>
        <v>3000</v>
      </c>
      <c r="G363" s="2"/>
      <c r="I363" s="13">
        <v>10000</v>
      </c>
      <c r="J363" s="2"/>
      <c r="L363" s="69">
        <f t="shared" si="9"/>
        <v>-7000</v>
      </c>
      <c r="M363" s="69">
        <f t="shared" si="10"/>
        <v>0</v>
      </c>
    </row>
    <row r="364" spans="1:13" ht="21.75" customHeight="1" outlineLevel="1">
      <c r="A364" s="42" t="s">
        <v>669</v>
      </c>
      <c r="B364" s="43" t="s">
        <v>22</v>
      </c>
      <c r="C364" s="43" t="s">
        <v>146</v>
      </c>
      <c r="D364" s="43" t="s">
        <v>4</v>
      </c>
      <c r="E364" s="43" t="s">
        <v>1</v>
      </c>
      <c r="F364" s="12">
        <f>F365+F373+F394</f>
        <v>126040094.66000001</v>
      </c>
      <c r="G364" s="12">
        <f>G365+G373+G394</f>
        <v>20366038.32</v>
      </c>
      <c r="I364" s="12">
        <v>112507053.16</v>
      </c>
      <c r="J364" s="1"/>
      <c r="L364" s="69">
        <f t="shared" si="9"/>
        <v>13533041.500000015</v>
      </c>
      <c r="M364" s="69">
        <f t="shared" si="10"/>
        <v>20366038.32</v>
      </c>
    </row>
    <row r="365" spans="1:13" ht="47.25" outlineLevel="2">
      <c r="A365" s="42" t="s">
        <v>654</v>
      </c>
      <c r="B365" s="43" t="s">
        <v>22</v>
      </c>
      <c r="C365" s="43" t="s">
        <v>146</v>
      </c>
      <c r="D365" s="43" t="s">
        <v>71</v>
      </c>
      <c r="E365" s="43" t="s">
        <v>1</v>
      </c>
      <c r="F365" s="12">
        <f>F366</f>
        <v>10362.94999999984</v>
      </c>
      <c r="G365" s="1"/>
      <c r="I365" s="12">
        <v>5797981</v>
      </c>
      <c r="J365" s="1"/>
      <c r="L365" s="69">
        <f t="shared" si="9"/>
        <v>-5787618.05</v>
      </c>
      <c r="M365" s="69">
        <f t="shared" si="10"/>
        <v>0</v>
      </c>
    </row>
    <row r="366" spans="1:13" ht="74.25" customHeight="1" outlineLevel="3">
      <c r="A366" s="42" t="s">
        <v>628</v>
      </c>
      <c r="B366" s="43" t="s">
        <v>22</v>
      </c>
      <c r="C366" s="43" t="s">
        <v>146</v>
      </c>
      <c r="D366" s="43" t="s">
        <v>173</v>
      </c>
      <c r="E366" s="43" t="s">
        <v>1</v>
      </c>
      <c r="F366" s="12">
        <f>F367+F370</f>
        <v>10362.94999999984</v>
      </c>
      <c r="G366" s="1"/>
      <c r="I366" s="12">
        <v>5797981</v>
      </c>
      <c r="J366" s="1"/>
      <c r="L366" s="69">
        <f t="shared" si="9"/>
        <v>-5787618.05</v>
      </c>
      <c r="M366" s="69">
        <f t="shared" si="10"/>
        <v>0</v>
      </c>
    </row>
    <row r="367" spans="1:13" ht="47.25" outlineLevel="4">
      <c r="A367" s="19" t="s">
        <v>535</v>
      </c>
      <c r="B367" s="20" t="s">
        <v>22</v>
      </c>
      <c r="C367" s="20" t="s">
        <v>146</v>
      </c>
      <c r="D367" s="20" t="s">
        <v>174</v>
      </c>
      <c r="E367" s="20" t="s">
        <v>1</v>
      </c>
      <c r="F367" s="13">
        <f>F368</f>
        <v>10362.94999999984</v>
      </c>
      <c r="G367" s="1"/>
      <c r="I367" s="13">
        <v>4053741</v>
      </c>
      <c r="J367" s="1"/>
      <c r="L367" s="69">
        <f t="shared" si="9"/>
        <v>-4043378.0500000003</v>
      </c>
      <c r="M367" s="69">
        <f t="shared" si="10"/>
        <v>0</v>
      </c>
    </row>
    <row r="368" spans="1:13" ht="31.5" outlineLevel="5">
      <c r="A368" s="19" t="s">
        <v>441</v>
      </c>
      <c r="B368" s="20" t="s">
        <v>22</v>
      </c>
      <c r="C368" s="20" t="s">
        <v>146</v>
      </c>
      <c r="D368" s="20" t="s">
        <v>175</v>
      </c>
      <c r="E368" s="20" t="s">
        <v>1</v>
      </c>
      <c r="F368" s="13">
        <f>F369</f>
        <v>10362.94999999984</v>
      </c>
      <c r="G368" s="2"/>
      <c r="I368" s="13">
        <v>4053741</v>
      </c>
      <c r="J368" s="2"/>
      <c r="L368" s="69">
        <f t="shared" si="9"/>
        <v>-4043378.0500000003</v>
      </c>
      <c r="M368" s="69">
        <f t="shared" si="10"/>
        <v>0</v>
      </c>
    </row>
    <row r="369" spans="1:13" ht="31.5" outlineLevel="6">
      <c r="A369" s="19" t="s">
        <v>689</v>
      </c>
      <c r="B369" s="20" t="s">
        <v>22</v>
      </c>
      <c r="C369" s="20" t="s">
        <v>146</v>
      </c>
      <c r="D369" s="20" t="s">
        <v>175</v>
      </c>
      <c r="E369" s="20" t="s">
        <v>17</v>
      </c>
      <c r="F369" s="13">
        <f>'Приложение_7 '!G399</f>
        <v>10362.94999999984</v>
      </c>
      <c r="G369" s="2"/>
      <c r="I369" s="13">
        <v>4053741</v>
      </c>
      <c r="J369" s="2"/>
      <c r="L369" s="69">
        <f t="shared" si="9"/>
        <v>-4043378.0500000003</v>
      </c>
      <c r="M369" s="69">
        <f t="shared" si="10"/>
        <v>0</v>
      </c>
    </row>
    <row r="370" spans="1:13" ht="236.25" hidden="1" outlineLevel="4">
      <c r="A370" s="19" t="s">
        <v>536</v>
      </c>
      <c r="B370" s="20" t="s">
        <v>22</v>
      </c>
      <c r="C370" s="20" t="s">
        <v>146</v>
      </c>
      <c r="D370" s="20" t="s">
        <v>176</v>
      </c>
      <c r="E370" s="20" t="s">
        <v>1</v>
      </c>
      <c r="F370" s="13">
        <f>F371</f>
        <v>0</v>
      </c>
      <c r="G370" s="2"/>
      <c r="I370" s="13">
        <v>1744240</v>
      </c>
      <c r="J370" s="2"/>
      <c r="L370" s="69">
        <f t="shared" si="9"/>
        <v>-1744240</v>
      </c>
      <c r="M370" s="69">
        <f t="shared" si="10"/>
        <v>0</v>
      </c>
    </row>
    <row r="371" spans="1:13" ht="31.5" hidden="1" outlineLevel="5">
      <c r="A371" s="19" t="s">
        <v>441</v>
      </c>
      <c r="B371" s="20" t="s">
        <v>22</v>
      </c>
      <c r="C371" s="20" t="s">
        <v>146</v>
      </c>
      <c r="D371" s="20" t="s">
        <v>177</v>
      </c>
      <c r="E371" s="20" t="s">
        <v>1</v>
      </c>
      <c r="F371" s="13">
        <f>F372</f>
        <v>0</v>
      </c>
      <c r="G371" s="2"/>
      <c r="I371" s="13">
        <v>1744240</v>
      </c>
      <c r="J371" s="2"/>
      <c r="L371" s="69">
        <f t="shared" si="9"/>
        <v>-1744240</v>
      </c>
      <c r="M371" s="69">
        <f t="shared" si="10"/>
        <v>0</v>
      </c>
    </row>
    <row r="372" spans="1:13" ht="31.5" hidden="1" outlineLevel="6">
      <c r="A372" s="19" t="s">
        <v>689</v>
      </c>
      <c r="B372" s="20" t="s">
        <v>22</v>
      </c>
      <c r="C372" s="20" t="s">
        <v>146</v>
      </c>
      <c r="D372" s="20" t="s">
        <v>177</v>
      </c>
      <c r="E372" s="20" t="s">
        <v>17</v>
      </c>
      <c r="F372" s="13">
        <f>'Приложение_7 '!G402</f>
        <v>0</v>
      </c>
      <c r="G372" s="2"/>
      <c r="I372" s="13">
        <v>1744240</v>
      </c>
      <c r="J372" s="2"/>
      <c r="L372" s="69">
        <f t="shared" si="9"/>
        <v>-1744240</v>
      </c>
      <c r="M372" s="69">
        <f t="shared" si="10"/>
        <v>0</v>
      </c>
    </row>
    <row r="373" spans="1:13" ht="47.25" outlineLevel="2" collapsed="1">
      <c r="A373" s="42" t="s">
        <v>629</v>
      </c>
      <c r="B373" s="43" t="s">
        <v>22</v>
      </c>
      <c r="C373" s="43" t="s">
        <v>146</v>
      </c>
      <c r="D373" s="43" t="s">
        <v>178</v>
      </c>
      <c r="E373" s="43" t="s">
        <v>1</v>
      </c>
      <c r="F373" s="12">
        <f>F374+F384+F391+F381</f>
        <v>126029731.71000001</v>
      </c>
      <c r="G373" s="12">
        <f>G374+G384+G391+G381</f>
        <v>20366038.32</v>
      </c>
      <c r="I373" s="12">
        <v>106630493.27</v>
      </c>
      <c r="J373" s="1"/>
      <c r="L373" s="69">
        <f t="shared" si="9"/>
        <v>19399238.440000013</v>
      </c>
      <c r="M373" s="69">
        <f t="shared" si="10"/>
        <v>20366038.32</v>
      </c>
    </row>
    <row r="374" spans="1:13" ht="31.5" outlineLevel="4">
      <c r="A374" s="19" t="s">
        <v>537</v>
      </c>
      <c r="B374" s="20" t="s">
        <v>22</v>
      </c>
      <c r="C374" s="20" t="s">
        <v>146</v>
      </c>
      <c r="D374" s="20" t="s">
        <v>179</v>
      </c>
      <c r="E374" s="20" t="s">
        <v>1</v>
      </c>
      <c r="F374" s="13">
        <f>F375+F377+F379</f>
        <v>30366038.32</v>
      </c>
      <c r="G374" s="13">
        <f>G375+G377+G379</f>
        <v>20366038.32</v>
      </c>
      <c r="I374" s="13">
        <v>10000000</v>
      </c>
      <c r="J374" s="2"/>
      <c r="L374" s="69">
        <f t="shared" si="9"/>
        <v>20366038.32</v>
      </c>
      <c r="M374" s="69">
        <f t="shared" si="10"/>
        <v>20366038.32</v>
      </c>
    </row>
    <row r="375" spans="1:13" ht="31.5" hidden="1" outlineLevel="5">
      <c r="A375" s="19" t="s">
        <v>454</v>
      </c>
      <c r="B375" s="20" t="s">
        <v>22</v>
      </c>
      <c r="C375" s="20" t="s">
        <v>146</v>
      </c>
      <c r="D375" s="20" t="s">
        <v>180</v>
      </c>
      <c r="E375" s="20" t="s">
        <v>1</v>
      </c>
      <c r="F375" s="13">
        <f>F376</f>
        <v>0</v>
      </c>
      <c r="G375" s="2"/>
      <c r="I375" s="13">
        <v>10000000</v>
      </c>
      <c r="J375" s="2"/>
      <c r="L375" s="69">
        <f aca="true" t="shared" si="12" ref="L375:L451">F375-I375</f>
        <v>-10000000</v>
      </c>
      <c r="M375" s="69">
        <f aca="true" t="shared" si="13" ref="M375:M451">G375-J375</f>
        <v>0</v>
      </c>
    </row>
    <row r="376" spans="1:13" ht="31.5" hidden="1" outlineLevel="6">
      <c r="A376" s="19" t="s">
        <v>689</v>
      </c>
      <c r="B376" s="20" t="s">
        <v>22</v>
      </c>
      <c r="C376" s="20" t="s">
        <v>146</v>
      </c>
      <c r="D376" s="20" t="s">
        <v>180</v>
      </c>
      <c r="E376" s="20" t="s">
        <v>17</v>
      </c>
      <c r="F376" s="13">
        <f>'Приложение_7 '!G406</f>
        <v>0</v>
      </c>
      <c r="G376" s="2"/>
      <c r="I376" s="13">
        <v>10000000</v>
      </c>
      <c r="J376" s="2"/>
      <c r="L376" s="69">
        <f t="shared" si="12"/>
        <v>-10000000</v>
      </c>
      <c r="M376" s="69">
        <f t="shared" si="13"/>
        <v>0</v>
      </c>
    </row>
    <row r="377" spans="1:13" ht="63" outlineLevel="6">
      <c r="A377" s="36" t="s">
        <v>916</v>
      </c>
      <c r="B377" s="37" t="s">
        <v>22</v>
      </c>
      <c r="C377" s="37" t="s">
        <v>146</v>
      </c>
      <c r="D377" s="37" t="s">
        <v>917</v>
      </c>
      <c r="E377" s="37" t="s">
        <v>1</v>
      </c>
      <c r="F377" s="13">
        <f>F378</f>
        <v>20366038.32</v>
      </c>
      <c r="G377" s="2">
        <f>G378</f>
        <v>20366038.32</v>
      </c>
      <c r="I377" s="13"/>
      <c r="J377" s="2"/>
      <c r="L377" s="69"/>
      <c r="M377" s="69"/>
    </row>
    <row r="378" spans="1:13" ht="31.5" outlineLevel="6">
      <c r="A378" s="36" t="s">
        <v>689</v>
      </c>
      <c r="B378" s="37" t="s">
        <v>22</v>
      </c>
      <c r="C378" s="37" t="s">
        <v>146</v>
      </c>
      <c r="D378" s="37" t="s">
        <v>917</v>
      </c>
      <c r="E378" s="37" t="s">
        <v>17</v>
      </c>
      <c r="F378" s="13">
        <f>'Приложение_7 '!G408</f>
        <v>20366038.32</v>
      </c>
      <c r="G378" s="2">
        <f>F378</f>
        <v>20366038.32</v>
      </c>
      <c r="I378" s="13"/>
      <c r="J378" s="2"/>
      <c r="L378" s="69"/>
      <c r="M378" s="69"/>
    </row>
    <row r="379" spans="1:13" ht="63" outlineLevel="6">
      <c r="A379" s="36" t="s">
        <v>916</v>
      </c>
      <c r="B379" s="37" t="s">
        <v>22</v>
      </c>
      <c r="C379" s="37" t="s">
        <v>146</v>
      </c>
      <c r="D379" s="37" t="s">
        <v>918</v>
      </c>
      <c r="E379" s="37" t="s">
        <v>1</v>
      </c>
      <c r="F379" s="13">
        <f>F380</f>
        <v>10000000</v>
      </c>
      <c r="G379" s="2"/>
      <c r="I379" s="13"/>
      <c r="J379" s="2"/>
      <c r="L379" s="69"/>
      <c r="M379" s="69"/>
    </row>
    <row r="380" spans="1:13" ht="31.5" outlineLevel="6">
      <c r="A380" s="36" t="s">
        <v>689</v>
      </c>
      <c r="B380" s="37" t="s">
        <v>22</v>
      </c>
      <c r="C380" s="37" t="s">
        <v>146</v>
      </c>
      <c r="D380" s="37" t="s">
        <v>918</v>
      </c>
      <c r="E380" s="37" t="s">
        <v>17</v>
      </c>
      <c r="F380" s="13">
        <f>'Приложение_7 '!G410</f>
        <v>10000000</v>
      </c>
      <c r="G380" s="2"/>
      <c r="I380" s="13"/>
      <c r="J380" s="2"/>
      <c r="L380" s="69"/>
      <c r="M380" s="69"/>
    </row>
    <row r="381" spans="1:13" ht="47.25" outlineLevel="6">
      <c r="A381" s="36" t="s">
        <v>879</v>
      </c>
      <c r="B381" s="37" t="s">
        <v>22</v>
      </c>
      <c r="C381" s="37" t="s">
        <v>146</v>
      </c>
      <c r="D381" s="37" t="s">
        <v>880</v>
      </c>
      <c r="E381" s="37" t="s">
        <v>1</v>
      </c>
      <c r="F381" s="13">
        <f>F382</f>
        <v>340000</v>
      </c>
      <c r="G381" s="2"/>
      <c r="I381" s="13"/>
      <c r="J381" s="2"/>
      <c r="L381" s="69"/>
      <c r="M381" s="69"/>
    </row>
    <row r="382" spans="1:13" ht="31.5" outlineLevel="6">
      <c r="A382" s="36" t="s">
        <v>441</v>
      </c>
      <c r="B382" s="37" t="s">
        <v>22</v>
      </c>
      <c r="C382" s="37" t="s">
        <v>146</v>
      </c>
      <c r="D382" s="37" t="s">
        <v>881</v>
      </c>
      <c r="E382" s="37" t="s">
        <v>1</v>
      </c>
      <c r="F382" s="13">
        <f>F383</f>
        <v>340000</v>
      </c>
      <c r="G382" s="2"/>
      <c r="I382" s="13"/>
      <c r="J382" s="2"/>
      <c r="L382" s="69"/>
      <c r="M382" s="69"/>
    </row>
    <row r="383" spans="1:13" ht="31.5" outlineLevel="6">
      <c r="A383" s="36" t="s">
        <v>689</v>
      </c>
      <c r="B383" s="37" t="s">
        <v>22</v>
      </c>
      <c r="C383" s="37" t="s">
        <v>146</v>
      </c>
      <c r="D383" s="37" t="s">
        <v>881</v>
      </c>
      <c r="E383" s="37" t="s">
        <v>17</v>
      </c>
      <c r="F383" s="13">
        <f>'Приложение_7 '!G413</f>
        <v>340000</v>
      </c>
      <c r="G383" s="2"/>
      <c r="I383" s="13"/>
      <c r="J383" s="2"/>
      <c r="L383" s="69"/>
      <c r="M383" s="69"/>
    </row>
    <row r="384" spans="1:13" ht="47.25" outlineLevel="4">
      <c r="A384" s="19" t="s">
        <v>538</v>
      </c>
      <c r="B384" s="20" t="s">
        <v>22</v>
      </c>
      <c r="C384" s="20" t="s">
        <v>146</v>
      </c>
      <c r="D384" s="20" t="s">
        <v>181</v>
      </c>
      <c r="E384" s="20" t="s">
        <v>1</v>
      </c>
      <c r="F384" s="13">
        <f>F385+F387+F389</f>
        <v>95029693.39</v>
      </c>
      <c r="G384" s="2"/>
      <c r="I384" s="13">
        <v>96330493.27</v>
      </c>
      <c r="J384" s="2"/>
      <c r="L384" s="69">
        <f t="shared" si="12"/>
        <v>-1300799.8799999952</v>
      </c>
      <c r="M384" s="69">
        <f t="shared" si="13"/>
        <v>0</v>
      </c>
    </row>
    <row r="385" spans="1:13" ht="47.25" outlineLevel="5">
      <c r="A385" s="19" t="s">
        <v>455</v>
      </c>
      <c r="B385" s="20" t="s">
        <v>22</v>
      </c>
      <c r="C385" s="20" t="s">
        <v>146</v>
      </c>
      <c r="D385" s="20" t="s">
        <v>182</v>
      </c>
      <c r="E385" s="20" t="s">
        <v>1</v>
      </c>
      <c r="F385" s="13">
        <f>F386</f>
        <v>92834953.2</v>
      </c>
      <c r="G385" s="2"/>
      <c r="I385" s="13">
        <v>92834953.2</v>
      </c>
      <c r="J385" s="2"/>
      <c r="L385" s="69">
        <f t="shared" si="12"/>
        <v>0</v>
      </c>
      <c r="M385" s="69">
        <f t="shared" si="13"/>
        <v>0</v>
      </c>
    </row>
    <row r="386" spans="1:13" ht="31.5" outlineLevel="6">
      <c r="A386" s="19" t="s">
        <v>689</v>
      </c>
      <c r="B386" s="20" t="s">
        <v>22</v>
      </c>
      <c r="C386" s="20" t="s">
        <v>146</v>
      </c>
      <c r="D386" s="20" t="s">
        <v>182</v>
      </c>
      <c r="E386" s="20" t="s">
        <v>17</v>
      </c>
      <c r="F386" s="13">
        <f>'Приложение_7 '!G416</f>
        <v>92834953.2</v>
      </c>
      <c r="G386" s="2"/>
      <c r="I386" s="13">
        <v>92834953.2</v>
      </c>
      <c r="J386" s="2"/>
      <c r="L386" s="69">
        <f t="shared" si="12"/>
        <v>0</v>
      </c>
      <c r="M386" s="69">
        <f t="shared" si="13"/>
        <v>0</v>
      </c>
    </row>
    <row r="387" spans="1:13" ht="31.5" outlineLevel="5">
      <c r="A387" s="19" t="s">
        <v>456</v>
      </c>
      <c r="B387" s="20" t="s">
        <v>22</v>
      </c>
      <c r="C387" s="20" t="s">
        <v>146</v>
      </c>
      <c r="D387" s="20" t="s">
        <v>183</v>
      </c>
      <c r="E387" s="20" t="s">
        <v>1</v>
      </c>
      <c r="F387" s="13">
        <f>F388</f>
        <v>360636.09</v>
      </c>
      <c r="G387" s="2"/>
      <c r="I387" s="13">
        <v>360636.09</v>
      </c>
      <c r="J387" s="2"/>
      <c r="L387" s="69">
        <f t="shared" si="12"/>
        <v>0</v>
      </c>
      <c r="M387" s="69">
        <f t="shared" si="13"/>
        <v>0</v>
      </c>
    </row>
    <row r="388" spans="1:13" ht="31.5" outlineLevel="6">
      <c r="A388" s="19" t="s">
        <v>689</v>
      </c>
      <c r="B388" s="20" t="s">
        <v>22</v>
      </c>
      <c r="C388" s="20" t="s">
        <v>146</v>
      </c>
      <c r="D388" s="20" t="s">
        <v>183</v>
      </c>
      <c r="E388" s="20" t="s">
        <v>17</v>
      </c>
      <c r="F388" s="13">
        <f>'Приложение_7 '!G418</f>
        <v>360636.09</v>
      </c>
      <c r="G388" s="2"/>
      <c r="I388" s="13">
        <v>360636.09</v>
      </c>
      <c r="J388" s="2"/>
      <c r="L388" s="69">
        <f t="shared" si="12"/>
        <v>0</v>
      </c>
      <c r="M388" s="69">
        <f t="shared" si="13"/>
        <v>0</v>
      </c>
    </row>
    <row r="389" spans="1:13" ht="31.5" outlineLevel="5">
      <c r="A389" s="19" t="s">
        <v>441</v>
      </c>
      <c r="B389" s="20" t="s">
        <v>22</v>
      </c>
      <c r="C389" s="20" t="s">
        <v>146</v>
      </c>
      <c r="D389" s="20" t="s">
        <v>184</v>
      </c>
      <c r="E389" s="20" t="s">
        <v>1</v>
      </c>
      <c r="F389" s="13">
        <f>F390</f>
        <v>1834104.0999999999</v>
      </c>
      <c r="G389" s="2"/>
      <c r="I389" s="13">
        <v>3134903.98</v>
      </c>
      <c r="J389" s="2"/>
      <c r="L389" s="69">
        <f t="shared" si="12"/>
        <v>-1300799.8800000001</v>
      </c>
      <c r="M389" s="69">
        <f t="shared" si="13"/>
        <v>0</v>
      </c>
    </row>
    <row r="390" spans="1:13" ht="31.5" outlineLevel="6">
      <c r="A390" s="19" t="s">
        <v>689</v>
      </c>
      <c r="B390" s="20" t="s">
        <v>22</v>
      </c>
      <c r="C390" s="20" t="s">
        <v>146</v>
      </c>
      <c r="D390" s="20" t="s">
        <v>184</v>
      </c>
      <c r="E390" s="20" t="s">
        <v>17</v>
      </c>
      <c r="F390" s="13">
        <f>'Приложение_7 '!G420</f>
        <v>1834104.0999999999</v>
      </c>
      <c r="G390" s="2"/>
      <c r="I390" s="13">
        <v>3134903.98</v>
      </c>
      <c r="J390" s="2"/>
      <c r="L390" s="69">
        <f t="shared" si="12"/>
        <v>-1300799.8800000001</v>
      </c>
      <c r="M390" s="69">
        <f t="shared" si="13"/>
        <v>0</v>
      </c>
    </row>
    <row r="391" spans="1:13" ht="47.25" outlineLevel="4">
      <c r="A391" s="19" t="s">
        <v>539</v>
      </c>
      <c r="B391" s="20" t="s">
        <v>22</v>
      </c>
      <c r="C391" s="20" t="s">
        <v>146</v>
      </c>
      <c r="D391" s="20" t="s">
        <v>185</v>
      </c>
      <c r="E391" s="20" t="s">
        <v>1</v>
      </c>
      <c r="F391" s="13">
        <f>F392</f>
        <v>294000</v>
      </c>
      <c r="G391" s="2"/>
      <c r="I391" s="13">
        <v>300000</v>
      </c>
      <c r="J391" s="2"/>
      <c r="L391" s="69">
        <f t="shared" si="12"/>
        <v>-6000</v>
      </c>
      <c r="M391" s="69">
        <f t="shared" si="13"/>
        <v>0</v>
      </c>
    </row>
    <row r="392" spans="1:13" ht="31.5" outlineLevel="5">
      <c r="A392" s="19" t="s">
        <v>441</v>
      </c>
      <c r="B392" s="20" t="s">
        <v>22</v>
      </c>
      <c r="C392" s="20" t="s">
        <v>146</v>
      </c>
      <c r="D392" s="20" t="s">
        <v>186</v>
      </c>
      <c r="E392" s="20" t="s">
        <v>1</v>
      </c>
      <c r="F392" s="13">
        <f>F393</f>
        <v>294000</v>
      </c>
      <c r="G392" s="1"/>
      <c r="I392" s="13">
        <v>300000</v>
      </c>
      <c r="J392" s="1"/>
      <c r="L392" s="69">
        <f t="shared" si="12"/>
        <v>-6000</v>
      </c>
      <c r="M392" s="69">
        <f t="shared" si="13"/>
        <v>0</v>
      </c>
    </row>
    <row r="393" spans="1:13" ht="31.5" outlineLevel="6">
      <c r="A393" s="19" t="s">
        <v>689</v>
      </c>
      <c r="B393" s="20" t="s">
        <v>22</v>
      </c>
      <c r="C393" s="20" t="s">
        <v>146</v>
      </c>
      <c r="D393" s="20" t="s">
        <v>186</v>
      </c>
      <c r="E393" s="20" t="s">
        <v>17</v>
      </c>
      <c r="F393" s="13">
        <f>'Приложение_7 '!G423</f>
        <v>294000</v>
      </c>
      <c r="G393" s="2"/>
      <c r="I393" s="13">
        <v>300000</v>
      </c>
      <c r="J393" s="2"/>
      <c r="L393" s="69">
        <f t="shared" si="12"/>
        <v>-6000</v>
      </c>
      <c r="M393" s="69">
        <f t="shared" si="13"/>
        <v>0</v>
      </c>
    </row>
    <row r="394" spans="1:13" ht="15.75" hidden="1" outlineLevel="2">
      <c r="A394" s="42" t="s">
        <v>490</v>
      </c>
      <c r="B394" s="43" t="s">
        <v>22</v>
      </c>
      <c r="C394" s="43" t="s">
        <v>146</v>
      </c>
      <c r="D394" s="43" t="s">
        <v>11</v>
      </c>
      <c r="E394" s="43" t="s">
        <v>1</v>
      </c>
      <c r="F394" s="12">
        <f>F395</f>
        <v>0</v>
      </c>
      <c r="G394" s="1"/>
      <c r="I394" s="12">
        <v>78578.89</v>
      </c>
      <c r="J394" s="1"/>
      <c r="L394" s="69">
        <f t="shared" si="12"/>
        <v>-78578.89</v>
      </c>
      <c r="M394" s="69">
        <f t="shared" si="13"/>
        <v>0</v>
      </c>
    </row>
    <row r="395" spans="1:13" ht="31.5" hidden="1" outlineLevel="5">
      <c r="A395" s="19" t="s">
        <v>448</v>
      </c>
      <c r="B395" s="20" t="s">
        <v>22</v>
      </c>
      <c r="C395" s="20" t="s">
        <v>146</v>
      </c>
      <c r="D395" s="20" t="s">
        <v>142</v>
      </c>
      <c r="E395" s="20" t="s">
        <v>1</v>
      </c>
      <c r="F395" s="13">
        <f>F396</f>
        <v>0</v>
      </c>
      <c r="G395" s="2"/>
      <c r="I395" s="13">
        <v>78578.89</v>
      </c>
      <c r="J395" s="2"/>
      <c r="L395" s="69">
        <f t="shared" si="12"/>
        <v>-78578.89</v>
      </c>
      <c r="M395" s="69">
        <f t="shared" si="13"/>
        <v>0</v>
      </c>
    </row>
    <row r="396" spans="1:13" ht="15.75" hidden="1" outlineLevel="6">
      <c r="A396" s="19" t="s">
        <v>691</v>
      </c>
      <c r="B396" s="20" t="s">
        <v>22</v>
      </c>
      <c r="C396" s="20" t="s">
        <v>146</v>
      </c>
      <c r="D396" s="20" t="s">
        <v>142</v>
      </c>
      <c r="E396" s="20" t="s">
        <v>65</v>
      </c>
      <c r="F396" s="13">
        <f>'Приложение_7 '!G426</f>
        <v>0</v>
      </c>
      <c r="G396" s="2"/>
      <c r="I396" s="13">
        <v>78578.89</v>
      </c>
      <c r="J396" s="2"/>
      <c r="L396" s="69">
        <f t="shared" si="12"/>
        <v>-78578.89</v>
      </c>
      <c r="M396" s="69">
        <f t="shared" si="13"/>
        <v>0</v>
      </c>
    </row>
    <row r="397" spans="1:13" ht="15.75" outlineLevel="1" collapsed="1">
      <c r="A397" s="42" t="s">
        <v>670</v>
      </c>
      <c r="B397" s="43" t="s">
        <v>22</v>
      </c>
      <c r="C397" s="43" t="s">
        <v>187</v>
      </c>
      <c r="D397" s="43" t="s">
        <v>4</v>
      </c>
      <c r="E397" s="43" t="s">
        <v>1</v>
      </c>
      <c r="F397" s="12">
        <f>F398</f>
        <v>11058528.67</v>
      </c>
      <c r="G397" s="1"/>
      <c r="I397" s="12">
        <v>11066404.67</v>
      </c>
      <c r="J397" s="1"/>
      <c r="L397" s="69">
        <f t="shared" si="12"/>
        <v>-7876</v>
      </c>
      <c r="M397" s="69">
        <f t="shared" si="13"/>
        <v>0</v>
      </c>
    </row>
    <row r="398" spans="1:13" ht="31.5" outlineLevel="2">
      <c r="A398" s="42" t="s">
        <v>655</v>
      </c>
      <c r="B398" s="43" t="s">
        <v>22</v>
      </c>
      <c r="C398" s="43" t="s">
        <v>187</v>
      </c>
      <c r="D398" s="43" t="s">
        <v>90</v>
      </c>
      <c r="E398" s="43" t="s">
        <v>1</v>
      </c>
      <c r="F398" s="12">
        <f>F399+F406</f>
        <v>11058528.67</v>
      </c>
      <c r="G398" s="1"/>
      <c r="I398" s="12">
        <v>11066404.67</v>
      </c>
      <c r="J398" s="1"/>
      <c r="L398" s="69">
        <f t="shared" si="12"/>
        <v>-7876</v>
      </c>
      <c r="M398" s="69">
        <f t="shared" si="13"/>
        <v>0</v>
      </c>
    </row>
    <row r="399" spans="1:13" ht="47.25" outlineLevel="3">
      <c r="A399" s="42" t="s">
        <v>630</v>
      </c>
      <c r="B399" s="43" t="s">
        <v>22</v>
      </c>
      <c r="C399" s="43" t="s">
        <v>187</v>
      </c>
      <c r="D399" s="43" t="s">
        <v>188</v>
      </c>
      <c r="E399" s="43" t="s">
        <v>1</v>
      </c>
      <c r="F399" s="12">
        <f>F400</f>
        <v>10177543.87</v>
      </c>
      <c r="G399" s="1"/>
      <c r="I399" s="12">
        <v>10222143.87</v>
      </c>
      <c r="J399" s="1"/>
      <c r="L399" s="69">
        <f t="shared" si="12"/>
        <v>-44600</v>
      </c>
      <c r="M399" s="69">
        <f t="shared" si="13"/>
        <v>0</v>
      </c>
    </row>
    <row r="400" spans="1:13" ht="78.75" outlineLevel="4">
      <c r="A400" s="19" t="s">
        <v>540</v>
      </c>
      <c r="B400" s="20" t="s">
        <v>22</v>
      </c>
      <c r="C400" s="20" t="s">
        <v>187</v>
      </c>
      <c r="D400" s="20" t="s">
        <v>189</v>
      </c>
      <c r="E400" s="20" t="s">
        <v>1</v>
      </c>
      <c r="F400" s="13">
        <f>F401+F404</f>
        <v>10177543.87</v>
      </c>
      <c r="G400" s="2"/>
      <c r="I400" s="13">
        <v>10222143.87</v>
      </c>
      <c r="J400" s="2"/>
      <c r="L400" s="69">
        <f t="shared" si="12"/>
        <v>-44600</v>
      </c>
      <c r="M400" s="69">
        <f t="shared" si="13"/>
        <v>0</v>
      </c>
    </row>
    <row r="401" spans="1:13" ht="63" outlineLevel="5">
      <c r="A401" s="19" t="s">
        <v>443</v>
      </c>
      <c r="B401" s="20" t="s">
        <v>22</v>
      </c>
      <c r="C401" s="20" t="s">
        <v>187</v>
      </c>
      <c r="D401" s="20" t="s">
        <v>190</v>
      </c>
      <c r="E401" s="20" t="s">
        <v>1</v>
      </c>
      <c r="F401" s="13">
        <f>F402+F403</f>
        <v>9957543.87</v>
      </c>
      <c r="G401" s="2"/>
      <c r="I401" s="13">
        <v>9962143.87</v>
      </c>
      <c r="J401" s="2"/>
      <c r="L401" s="69">
        <f t="shared" si="12"/>
        <v>-4600</v>
      </c>
      <c r="M401" s="69">
        <f t="shared" si="13"/>
        <v>0</v>
      </c>
    </row>
    <row r="402" spans="1:13" ht="78.75" outlineLevel="6">
      <c r="A402" s="19" t="s">
        <v>704</v>
      </c>
      <c r="B402" s="20" t="s">
        <v>22</v>
      </c>
      <c r="C402" s="20" t="s">
        <v>187</v>
      </c>
      <c r="D402" s="20" t="s">
        <v>190</v>
      </c>
      <c r="E402" s="20" t="s">
        <v>10</v>
      </c>
      <c r="F402" s="13">
        <f>'Приложение_7 '!G254</f>
        <v>9885644.87</v>
      </c>
      <c r="G402" s="2"/>
      <c r="I402" s="13">
        <v>9885644.87</v>
      </c>
      <c r="J402" s="2"/>
      <c r="L402" s="69">
        <f t="shared" si="12"/>
        <v>0</v>
      </c>
      <c r="M402" s="69">
        <f t="shared" si="13"/>
        <v>0</v>
      </c>
    </row>
    <row r="403" spans="1:13" ht="31.5" outlineLevel="6">
      <c r="A403" s="19" t="s">
        <v>689</v>
      </c>
      <c r="B403" s="20" t="s">
        <v>22</v>
      </c>
      <c r="C403" s="20" t="s">
        <v>187</v>
      </c>
      <c r="D403" s="20" t="s">
        <v>190</v>
      </c>
      <c r="E403" s="20" t="s">
        <v>17</v>
      </c>
      <c r="F403" s="13">
        <f>'Приложение_7 '!G255</f>
        <v>71899</v>
      </c>
      <c r="G403" s="2"/>
      <c r="I403" s="13">
        <v>76499</v>
      </c>
      <c r="J403" s="2"/>
      <c r="L403" s="69">
        <f t="shared" si="12"/>
        <v>-4600</v>
      </c>
      <c r="M403" s="69">
        <f t="shared" si="13"/>
        <v>0</v>
      </c>
    </row>
    <row r="404" spans="1:13" ht="63" outlineLevel="5">
      <c r="A404" s="19" t="s">
        <v>432</v>
      </c>
      <c r="B404" s="20" t="s">
        <v>22</v>
      </c>
      <c r="C404" s="20" t="s">
        <v>187</v>
      </c>
      <c r="D404" s="20" t="s">
        <v>191</v>
      </c>
      <c r="E404" s="20" t="s">
        <v>1</v>
      </c>
      <c r="F404" s="13">
        <f>F405</f>
        <v>220000</v>
      </c>
      <c r="G404" s="2"/>
      <c r="I404" s="13">
        <v>260000</v>
      </c>
      <c r="J404" s="2"/>
      <c r="L404" s="69">
        <f t="shared" si="12"/>
        <v>-40000</v>
      </c>
      <c r="M404" s="69">
        <f t="shared" si="13"/>
        <v>0</v>
      </c>
    </row>
    <row r="405" spans="1:13" ht="78.75" outlineLevel="6">
      <c r="A405" s="19" t="s">
        <v>704</v>
      </c>
      <c r="B405" s="20" t="s">
        <v>22</v>
      </c>
      <c r="C405" s="20" t="s">
        <v>187</v>
      </c>
      <c r="D405" s="20" t="s">
        <v>191</v>
      </c>
      <c r="E405" s="20" t="s">
        <v>10</v>
      </c>
      <c r="F405" s="13">
        <f>'Приложение_7 '!G257</f>
        <v>220000</v>
      </c>
      <c r="G405" s="2"/>
      <c r="I405" s="13">
        <v>260000</v>
      </c>
      <c r="J405" s="2"/>
      <c r="L405" s="69">
        <f t="shared" si="12"/>
        <v>-40000</v>
      </c>
      <c r="M405" s="69">
        <f t="shared" si="13"/>
        <v>0</v>
      </c>
    </row>
    <row r="406" spans="1:13" ht="47.25" outlineLevel="3">
      <c r="A406" s="42" t="s">
        <v>620</v>
      </c>
      <c r="B406" s="43" t="s">
        <v>22</v>
      </c>
      <c r="C406" s="43" t="s">
        <v>187</v>
      </c>
      <c r="D406" s="43" t="s">
        <v>91</v>
      </c>
      <c r="E406" s="43" t="s">
        <v>1</v>
      </c>
      <c r="F406" s="12">
        <f>F407+F410+F413</f>
        <v>880984.8</v>
      </c>
      <c r="G406" s="1"/>
      <c r="I406" s="12">
        <v>844260.8</v>
      </c>
      <c r="J406" s="1"/>
      <c r="L406" s="69">
        <f t="shared" si="12"/>
        <v>36724</v>
      </c>
      <c r="M406" s="69">
        <f t="shared" si="13"/>
        <v>0</v>
      </c>
    </row>
    <row r="407" spans="1:13" ht="47.25" outlineLevel="4">
      <c r="A407" s="19" t="s">
        <v>507</v>
      </c>
      <c r="B407" s="20" t="s">
        <v>22</v>
      </c>
      <c r="C407" s="20" t="s">
        <v>187</v>
      </c>
      <c r="D407" s="20" t="s">
        <v>92</v>
      </c>
      <c r="E407" s="20" t="s">
        <v>1</v>
      </c>
      <c r="F407" s="13">
        <f>F408</f>
        <v>16665</v>
      </c>
      <c r="G407" s="2"/>
      <c r="I407" s="13">
        <v>23240</v>
      </c>
      <c r="J407" s="2"/>
      <c r="L407" s="69">
        <f t="shared" si="12"/>
        <v>-6575</v>
      </c>
      <c r="M407" s="69">
        <f t="shared" si="13"/>
        <v>0</v>
      </c>
    </row>
    <row r="408" spans="1:13" ht="31.5" outlineLevel="5">
      <c r="A408" s="19" t="s">
        <v>441</v>
      </c>
      <c r="B408" s="20" t="s">
        <v>22</v>
      </c>
      <c r="C408" s="20" t="s">
        <v>187</v>
      </c>
      <c r="D408" s="20" t="s">
        <v>93</v>
      </c>
      <c r="E408" s="20" t="s">
        <v>1</v>
      </c>
      <c r="F408" s="13">
        <f>F409</f>
        <v>16665</v>
      </c>
      <c r="G408" s="2"/>
      <c r="I408" s="13">
        <v>23240</v>
      </c>
      <c r="J408" s="2"/>
      <c r="L408" s="69">
        <f t="shared" si="12"/>
        <v>-6575</v>
      </c>
      <c r="M408" s="69">
        <f t="shared" si="13"/>
        <v>0</v>
      </c>
    </row>
    <row r="409" spans="1:13" ht="31.5" outlineLevel="6">
      <c r="A409" s="19" t="s">
        <v>689</v>
      </c>
      <c r="B409" s="20" t="s">
        <v>22</v>
      </c>
      <c r="C409" s="20" t="s">
        <v>187</v>
      </c>
      <c r="D409" s="20" t="s">
        <v>93</v>
      </c>
      <c r="E409" s="20" t="s">
        <v>17</v>
      </c>
      <c r="F409" s="13">
        <f>'Приложение_7 '!G261</f>
        <v>16665</v>
      </c>
      <c r="G409" s="2"/>
      <c r="I409" s="13">
        <v>23240</v>
      </c>
      <c r="J409" s="2"/>
      <c r="L409" s="69">
        <f t="shared" si="12"/>
        <v>-6575</v>
      </c>
      <c r="M409" s="69">
        <f t="shared" si="13"/>
        <v>0</v>
      </c>
    </row>
    <row r="410" spans="1:13" ht="31.5" outlineLevel="4">
      <c r="A410" s="19" t="s">
        <v>510</v>
      </c>
      <c r="B410" s="20" t="s">
        <v>22</v>
      </c>
      <c r="C410" s="20" t="s">
        <v>187</v>
      </c>
      <c r="D410" s="20" t="s">
        <v>100</v>
      </c>
      <c r="E410" s="20" t="s">
        <v>1</v>
      </c>
      <c r="F410" s="13">
        <f>F411</f>
        <v>728995.8</v>
      </c>
      <c r="G410" s="2"/>
      <c r="I410" s="13">
        <v>675880.8</v>
      </c>
      <c r="J410" s="2"/>
      <c r="L410" s="69">
        <f t="shared" si="12"/>
        <v>53115</v>
      </c>
      <c r="M410" s="69">
        <f t="shared" si="13"/>
        <v>0</v>
      </c>
    </row>
    <row r="411" spans="1:13" ht="31.5" outlineLevel="5">
      <c r="A411" s="19" t="s">
        <v>441</v>
      </c>
      <c r="B411" s="20" t="s">
        <v>22</v>
      </c>
      <c r="C411" s="20" t="s">
        <v>187</v>
      </c>
      <c r="D411" s="20" t="s">
        <v>101</v>
      </c>
      <c r="E411" s="20" t="s">
        <v>1</v>
      </c>
      <c r="F411" s="13">
        <f>F412</f>
        <v>728995.8</v>
      </c>
      <c r="G411" s="2"/>
      <c r="I411" s="13">
        <v>675880.8</v>
      </c>
      <c r="J411" s="2"/>
      <c r="L411" s="69">
        <f t="shared" si="12"/>
        <v>53115</v>
      </c>
      <c r="M411" s="69">
        <f t="shared" si="13"/>
        <v>0</v>
      </c>
    </row>
    <row r="412" spans="1:13" ht="31.5" outlineLevel="6">
      <c r="A412" s="19" t="s">
        <v>689</v>
      </c>
      <c r="B412" s="20" t="s">
        <v>22</v>
      </c>
      <c r="C412" s="20" t="s">
        <v>187</v>
      </c>
      <c r="D412" s="20" t="s">
        <v>101</v>
      </c>
      <c r="E412" s="20" t="s">
        <v>17</v>
      </c>
      <c r="F412" s="13">
        <f>'Приложение_7 '!G264</f>
        <v>728995.8</v>
      </c>
      <c r="G412" s="2"/>
      <c r="I412" s="13">
        <v>675880.8</v>
      </c>
      <c r="J412" s="2"/>
      <c r="L412" s="69">
        <f t="shared" si="12"/>
        <v>53115</v>
      </c>
      <c r="M412" s="69">
        <f t="shared" si="13"/>
        <v>0</v>
      </c>
    </row>
    <row r="413" spans="1:13" ht="15.75" outlineLevel="4">
      <c r="A413" s="19" t="s">
        <v>511</v>
      </c>
      <c r="B413" s="20" t="s">
        <v>22</v>
      </c>
      <c r="C413" s="20" t="s">
        <v>187</v>
      </c>
      <c r="D413" s="20" t="s">
        <v>102</v>
      </c>
      <c r="E413" s="20" t="s">
        <v>1</v>
      </c>
      <c r="F413" s="13">
        <f>F414</f>
        <v>135324</v>
      </c>
      <c r="G413" s="2"/>
      <c r="I413" s="13">
        <v>145140</v>
      </c>
      <c r="J413" s="2"/>
      <c r="L413" s="69">
        <f t="shared" si="12"/>
        <v>-9816</v>
      </c>
      <c r="M413" s="69">
        <f t="shared" si="13"/>
        <v>0</v>
      </c>
    </row>
    <row r="414" spans="1:13" ht="31.5" outlineLevel="5">
      <c r="A414" s="19" t="s">
        <v>441</v>
      </c>
      <c r="B414" s="20" t="s">
        <v>22</v>
      </c>
      <c r="C414" s="20" t="s">
        <v>187</v>
      </c>
      <c r="D414" s="20" t="s">
        <v>103</v>
      </c>
      <c r="E414" s="20" t="s">
        <v>1</v>
      </c>
      <c r="F414" s="13">
        <f>F415</f>
        <v>135324</v>
      </c>
      <c r="G414" s="2"/>
      <c r="I414" s="13">
        <v>145140</v>
      </c>
      <c r="J414" s="2"/>
      <c r="L414" s="69">
        <f t="shared" si="12"/>
        <v>-9816</v>
      </c>
      <c r="M414" s="69">
        <f t="shared" si="13"/>
        <v>0</v>
      </c>
    </row>
    <row r="415" spans="1:13" ht="31.5" outlineLevel="6">
      <c r="A415" s="19" t="s">
        <v>689</v>
      </c>
      <c r="B415" s="20" t="s">
        <v>22</v>
      </c>
      <c r="C415" s="20" t="s">
        <v>187</v>
      </c>
      <c r="D415" s="20" t="s">
        <v>103</v>
      </c>
      <c r="E415" s="20" t="s">
        <v>17</v>
      </c>
      <c r="F415" s="13">
        <f>'Приложение_7 '!G267</f>
        <v>135324</v>
      </c>
      <c r="G415" s="2"/>
      <c r="I415" s="13">
        <v>145140</v>
      </c>
      <c r="J415" s="2"/>
      <c r="L415" s="69">
        <f t="shared" si="12"/>
        <v>-9816</v>
      </c>
      <c r="M415" s="69">
        <f t="shared" si="13"/>
        <v>0</v>
      </c>
    </row>
    <row r="416" spans="1:13" s="68" customFormat="1" ht="31.5" outlineLevel="1">
      <c r="A416" s="42" t="s">
        <v>671</v>
      </c>
      <c r="B416" s="43" t="s">
        <v>22</v>
      </c>
      <c r="C416" s="43" t="s">
        <v>192</v>
      </c>
      <c r="D416" s="43" t="s">
        <v>4</v>
      </c>
      <c r="E416" s="43" t="s">
        <v>1</v>
      </c>
      <c r="F416" s="12">
        <f>F417+F422</f>
        <v>26452072.110000003</v>
      </c>
      <c r="G416" s="12">
        <f>G417+G422</f>
        <v>36200</v>
      </c>
      <c r="I416" s="12">
        <v>27910305.52</v>
      </c>
      <c r="J416" s="1">
        <f>J422</f>
        <v>36200</v>
      </c>
      <c r="L416" s="69">
        <f t="shared" si="12"/>
        <v>-1458233.4099999964</v>
      </c>
      <c r="M416" s="69">
        <f t="shared" si="13"/>
        <v>0</v>
      </c>
    </row>
    <row r="417" spans="1:13" ht="31.5" outlineLevel="2">
      <c r="A417" s="42" t="s">
        <v>655</v>
      </c>
      <c r="B417" s="43" t="s">
        <v>22</v>
      </c>
      <c r="C417" s="43" t="s">
        <v>192</v>
      </c>
      <c r="D417" s="43" t="s">
        <v>90</v>
      </c>
      <c r="E417" s="43" t="s">
        <v>1</v>
      </c>
      <c r="F417" s="12">
        <f>F418</f>
        <v>683807.12</v>
      </c>
      <c r="G417" s="1"/>
      <c r="I417" s="12">
        <v>690807.12</v>
      </c>
      <c r="J417" s="1"/>
      <c r="L417" s="69">
        <f t="shared" si="12"/>
        <v>-7000</v>
      </c>
      <c r="M417" s="69">
        <f t="shared" si="13"/>
        <v>0</v>
      </c>
    </row>
    <row r="418" spans="1:13" ht="47.25" outlineLevel="3">
      <c r="A418" s="42" t="s">
        <v>620</v>
      </c>
      <c r="B418" s="43" t="s">
        <v>22</v>
      </c>
      <c r="C418" s="43" t="s">
        <v>192</v>
      </c>
      <c r="D418" s="43" t="s">
        <v>91</v>
      </c>
      <c r="E418" s="43" t="s">
        <v>1</v>
      </c>
      <c r="F418" s="12">
        <f>F419</f>
        <v>683807.12</v>
      </c>
      <c r="G418" s="1"/>
      <c r="I418" s="12">
        <v>690807.12</v>
      </c>
      <c r="J418" s="1"/>
      <c r="L418" s="69">
        <f t="shared" si="12"/>
        <v>-7000</v>
      </c>
      <c r="M418" s="69">
        <f t="shared" si="13"/>
        <v>0</v>
      </c>
    </row>
    <row r="419" spans="1:13" ht="31.5" outlineLevel="4">
      <c r="A419" s="19" t="s">
        <v>510</v>
      </c>
      <c r="B419" s="20" t="s">
        <v>22</v>
      </c>
      <c r="C419" s="20" t="s">
        <v>192</v>
      </c>
      <c r="D419" s="20" t="s">
        <v>100</v>
      </c>
      <c r="E419" s="20" t="s">
        <v>1</v>
      </c>
      <c r="F419" s="13">
        <f>F420</f>
        <v>683807.12</v>
      </c>
      <c r="G419" s="2"/>
      <c r="I419" s="13">
        <v>690807.12</v>
      </c>
      <c r="J419" s="2"/>
      <c r="L419" s="69">
        <f t="shared" si="12"/>
        <v>-7000</v>
      </c>
      <c r="M419" s="69">
        <f t="shared" si="13"/>
        <v>0</v>
      </c>
    </row>
    <row r="420" spans="1:13" ht="31.5" outlineLevel="5">
      <c r="A420" s="19" t="s">
        <v>441</v>
      </c>
      <c r="B420" s="20" t="s">
        <v>22</v>
      </c>
      <c r="C420" s="20" t="s">
        <v>192</v>
      </c>
      <c r="D420" s="20" t="s">
        <v>101</v>
      </c>
      <c r="E420" s="20" t="s">
        <v>1</v>
      </c>
      <c r="F420" s="13">
        <f>F421</f>
        <v>683807.12</v>
      </c>
      <c r="G420" s="2"/>
      <c r="I420" s="13">
        <v>690807.12</v>
      </c>
      <c r="J420" s="2"/>
      <c r="L420" s="69">
        <f t="shared" si="12"/>
        <v>-7000</v>
      </c>
      <c r="M420" s="69">
        <f t="shared" si="13"/>
        <v>0</v>
      </c>
    </row>
    <row r="421" spans="1:13" ht="31.5" outlineLevel="6">
      <c r="A421" s="19" t="s">
        <v>689</v>
      </c>
      <c r="B421" s="20" t="s">
        <v>22</v>
      </c>
      <c r="C421" s="20" t="s">
        <v>192</v>
      </c>
      <c r="D421" s="20" t="s">
        <v>101</v>
      </c>
      <c r="E421" s="20" t="s">
        <v>17</v>
      </c>
      <c r="F421" s="13">
        <f>'Приложение_7 '!G432</f>
        <v>683807.12</v>
      </c>
      <c r="G421" s="2"/>
      <c r="I421" s="13">
        <v>690807.12</v>
      </c>
      <c r="J421" s="2"/>
      <c r="L421" s="69">
        <f t="shared" si="12"/>
        <v>-7000</v>
      </c>
      <c r="M421" s="69">
        <f t="shared" si="13"/>
        <v>0</v>
      </c>
    </row>
    <row r="422" spans="1:13" ht="47.25" outlineLevel="2">
      <c r="A422" s="42" t="s">
        <v>652</v>
      </c>
      <c r="B422" s="43" t="s">
        <v>22</v>
      </c>
      <c r="C422" s="43" t="s">
        <v>192</v>
      </c>
      <c r="D422" s="43" t="s">
        <v>6</v>
      </c>
      <c r="E422" s="43" t="s">
        <v>1</v>
      </c>
      <c r="F422" s="12">
        <f>F423+F428+F438</f>
        <v>25768264.990000002</v>
      </c>
      <c r="G422" s="12">
        <f>G423+G428+G438</f>
        <v>36200</v>
      </c>
      <c r="I422" s="12">
        <v>27219498.4</v>
      </c>
      <c r="J422" s="1">
        <f>J423</f>
        <v>36200</v>
      </c>
      <c r="L422" s="69">
        <f t="shared" si="12"/>
        <v>-1451233.4099999964</v>
      </c>
      <c r="M422" s="69">
        <f t="shared" si="13"/>
        <v>0</v>
      </c>
    </row>
    <row r="423" spans="1:13" ht="31.5" outlineLevel="3">
      <c r="A423" s="42" t="s">
        <v>612</v>
      </c>
      <c r="B423" s="43" t="s">
        <v>22</v>
      </c>
      <c r="C423" s="43" t="s">
        <v>192</v>
      </c>
      <c r="D423" s="43" t="s">
        <v>43</v>
      </c>
      <c r="E423" s="43" t="s">
        <v>1</v>
      </c>
      <c r="F423" s="12">
        <f>F424</f>
        <v>36200</v>
      </c>
      <c r="G423" s="12">
        <f>G424</f>
        <v>36200</v>
      </c>
      <c r="I423" s="12">
        <v>36200</v>
      </c>
      <c r="J423" s="1">
        <f>J424</f>
        <v>36200</v>
      </c>
      <c r="L423" s="69">
        <f t="shared" si="12"/>
        <v>0</v>
      </c>
      <c r="M423" s="69">
        <f t="shared" si="13"/>
        <v>0</v>
      </c>
    </row>
    <row r="424" spans="1:13" ht="63" outlineLevel="4">
      <c r="A424" s="19" t="s">
        <v>541</v>
      </c>
      <c r="B424" s="20" t="s">
        <v>22</v>
      </c>
      <c r="C424" s="20" t="s">
        <v>192</v>
      </c>
      <c r="D424" s="20" t="s">
        <v>193</v>
      </c>
      <c r="E424" s="20" t="s">
        <v>1</v>
      </c>
      <c r="F424" s="13">
        <f>F425</f>
        <v>36200</v>
      </c>
      <c r="G424" s="13">
        <f>G425</f>
        <v>36200</v>
      </c>
      <c r="I424" s="13">
        <v>36200</v>
      </c>
      <c r="J424" s="2">
        <f>J425</f>
        <v>36200</v>
      </c>
      <c r="L424" s="69">
        <f t="shared" si="12"/>
        <v>0</v>
      </c>
      <c r="M424" s="69">
        <f t="shared" si="13"/>
        <v>0</v>
      </c>
    </row>
    <row r="425" spans="1:13" ht="94.5" outlineLevel="5">
      <c r="A425" s="19" t="s">
        <v>457</v>
      </c>
      <c r="B425" s="20" t="s">
        <v>22</v>
      </c>
      <c r="C425" s="20" t="s">
        <v>192</v>
      </c>
      <c r="D425" s="20" t="s">
        <v>194</v>
      </c>
      <c r="E425" s="20" t="s">
        <v>1</v>
      </c>
      <c r="F425" s="13">
        <f>F426+F427</f>
        <v>36200</v>
      </c>
      <c r="G425" s="13">
        <f>G426+G427</f>
        <v>36200</v>
      </c>
      <c r="I425" s="13">
        <v>36200</v>
      </c>
      <c r="J425" s="13">
        <v>36200</v>
      </c>
      <c r="L425" s="69">
        <f t="shared" si="12"/>
        <v>0</v>
      </c>
      <c r="M425" s="69">
        <f t="shared" si="13"/>
        <v>0</v>
      </c>
    </row>
    <row r="426" spans="1:13" ht="78.75" outlineLevel="6">
      <c r="A426" s="19" t="s">
        <v>704</v>
      </c>
      <c r="B426" s="20" t="s">
        <v>22</v>
      </c>
      <c r="C426" s="20" t="s">
        <v>192</v>
      </c>
      <c r="D426" s="20" t="s">
        <v>194</v>
      </c>
      <c r="E426" s="20" t="s">
        <v>10</v>
      </c>
      <c r="F426" s="13">
        <f>'Приложение_7 '!G273</f>
        <v>32122.44</v>
      </c>
      <c r="G426" s="13">
        <f>F426</f>
        <v>32122.44</v>
      </c>
      <c r="I426" s="13">
        <v>32122.44</v>
      </c>
      <c r="J426" s="13">
        <v>32122.44</v>
      </c>
      <c r="L426" s="69">
        <f t="shared" si="12"/>
        <v>0</v>
      </c>
      <c r="M426" s="69">
        <f t="shared" si="13"/>
        <v>0</v>
      </c>
    </row>
    <row r="427" spans="1:13" ht="31.5" outlineLevel="6">
      <c r="A427" s="19" t="s">
        <v>689</v>
      </c>
      <c r="B427" s="20" t="s">
        <v>22</v>
      </c>
      <c r="C427" s="20" t="s">
        <v>192</v>
      </c>
      <c r="D427" s="20" t="s">
        <v>194</v>
      </c>
      <c r="E427" s="20" t="s">
        <v>17</v>
      </c>
      <c r="F427" s="13">
        <f>'Приложение_7 '!G274</f>
        <v>4077.56</v>
      </c>
      <c r="G427" s="13">
        <f>F427</f>
        <v>4077.56</v>
      </c>
      <c r="I427" s="13">
        <v>4077.56</v>
      </c>
      <c r="J427" s="13">
        <v>4077.56</v>
      </c>
      <c r="L427" s="69">
        <f t="shared" si="12"/>
        <v>0</v>
      </c>
      <c r="M427" s="69">
        <f t="shared" si="13"/>
        <v>0</v>
      </c>
    </row>
    <row r="428" spans="1:13" ht="47.25" outlineLevel="3">
      <c r="A428" s="42" t="s">
        <v>613</v>
      </c>
      <c r="B428" s="43" t="s">
        <v>22</v>
      </c>
      <c r="C428" s="43" t="s">
        <v>192</v>
      </c>
      <c r="D428" s="43" t="s">
        <v>51</v>
      </c>
      <c r="E428" s="43" t="s">
        <v>1</v>
      </c>
      <c r="F428" s="12">
        <f>F429+F432+F435</f>
        <v>3794624</v>
      </c>
      <c r="G428" s="1"/>
      <c r="I428" s="12">
        <v>4141040</v>
      </c>
      <c r="J428" s="1"/>
      <c r="L428" s="69">
        <f t="shared" si="12"/>
        <v>-346416</v>
      </c>
      <c r="M428" s="69">
        <f t="shared" si="13"/>
        <v>0</v>
      </c>
    </row>
    <row r="429" spans="1:13" ht="63" outlineLevel="4">
      <c r="A429" s="19" t="s">
        <v>542</v>
      </c>
      <c r="B429" s="20" t="s">
        <v>22</v>
      </c>
      <c r="C429" s="20" t="s">
        <v>192</v>
      </c>
      <c r="D429" s="20" t="s">
        <v>195</v>
      </c>
      <c r="E429" s="20" t="s">
        <v>1</v>
      </c>
      <c r="F429" s="13">
        <f>F430</f>
        <v>1494624</v>
      </c>
      <c r="G429" s="2"/>
      <c r="I429" s="13">
        <v>4141040</v>
      </c>
      <c r="J429" s="2"/>
      <c r="L429" s="69">
        <f t="shared" si="12"/>
        <v>-2646416</v>
      </c>
      <c r="M429" s="69">
        <f t="shared" si="13"/>
        <v>0</v>
      </c>
    </row>
    <row r="430" spans="1:13" ht="31.5" outlineLevel="5">
      <c r="A430" s="19" t="s">
        <v>458</v>
      </c>
      <c r="B430" s="20" t="s">
        <v>22</v>
      </c>
      <c r="C430" s="20" t="s">
        <v>192</v>
      </c>
      <c r="D430" s="20" t="s">
        <v>196</v>
      </c>
      <c r="E430" s="20" t="s">
        <v>1</v>
      </c>
      <c r="F430" s="13">
        <f>F431</f>
        <v>1494624</v>
      </c>
      <c r="G430" s="2"/>
      <c r="I430" s="13">
        <v>4141040</v>
      </c>
      <c r="J430" s="2"/>
      <c r="L430" s="69">
        <f t="shared" si="12"/>
        <v>-2646416</v>
      </c>
      <c r="M430" s="69">
        <f t="shared" si="13"/>
        <v>0</v>
      </c>
    </row>
    <row r="431" spans="1:13" ht="31.5" outlineLevel="6">
      <c r="A431" s="19" t="s">
        <v>689</v>
      </c>
      <c r="B431" s="20" t="s">
        <v>22</v>
      </c>
      <c r="C431" s="20" t="s">
        <v>192</v>
      </c>
      <c r="D431" s="20" t="s">
        <v>196</v>
      </c>
      <c r="E431" s="20" t="s">
        <v>17</v>
      </c>
      <c r="F431" s="13">
        <f>'Приложение_7 '!G437</f>
        <v>1494624</v>
      </c>
      <c r="G431" s="2"/>
      <c r="I431" s="13">
        <v>4141040</v>
      </c>
      <c r="J431" s="2"/>
      <c r="L431" s="69">
        <f t="shared" si="12"/>
        <v>-2646416</v>
      </c>
      <c r="M431" s="69">
        <f t="shared" si="13"/>
        <v>0</v>
      </c>
    </row>
    <row r="432" spans="1:13" ht="110.25" outlineLevel="6">
      <c r="A432" s="36" t="s">
        <v>882</v>
      </c>
      <c r="B432" s="37" t="s">
        <v>22</v>
      </c>
      <c r="C432" s="37" t="s">
        <v>192</v>
      </c>
      <c r="D432" s="37" t="s">
        <v>883</v>
      </c>
      <c r="E432" s="37" t="s">
        <v>1</v>
      </c>
      <c r="F432" s="13">
        <f>F433</f>
        <v>1800000</v>
      </c>
      <c r="G432" s="2"/>
      <c r="I432" s="13"/>
      <c r="J432" s="2"/>
      <c r="L432" s="69"/>
      <c r="M432" s="69"/>
    </row>
    <row r="433" spans="1:13" ht="31.5" outlineLevel="6">
      <c r="A433" s="36" t="s">
        <v>458</v>
      </c>
      <c r="B433" s="37" t="s">
        <v>22</v>
      </c>
      <c r="C433" s="37" t="s">
        <v>192</v>
      </c>
      <c r="D433" s="37" t="s">
        <v>884</v>
      </c>
      <c r="E433" s="37" t="s">
        <v>1</v>
      </c>
      <c r="F433" s="13">
        <f>F434</f>
        <v>1800000</v>
      </c>
      <c r="G433" s="2"/>
      <c r="I433" s="13"/>
      <c r="J433" s="2"/>
      <c r="L433" s="69"/>
      <c r="M433" s="69"/>
    </row>
    <row r="434" spans="1:13" ht="31.5" outlineLevel="6">
      <c r="A434" s="36" t="s">
        <v>689</v>
      </c>
      <c r="B434" s="37" t="s">
        <v>22</v>
      </c>
      <c r="C434" s="37" t="s">
        <v>192</v>
      </c>
      <c r="D434" s="37" t="s">
        <v>884</v>
      </c>
      <c r="E434" s="37" t="s">
        <v>17</v>
      </c>
      <c r="F434" s="13">
        <f>'Приложение_7 '!G440</f>
        <v>1800000</v>
      </c>
      <c r="G434" s="2"/>
      <c r="I434" s="13"/>
      <c r="J434" s="2"/>
      <c r="L434" s="69"/>
      <c r="M434" s="69"/>
    </row>
    <row r="435" spans="1:13" ht="63" outlineLevel="6">
      <c r="A435" s="36" t="s">
        <v>930</v>
      </c>
      <c r="B435" s="37" t="s">
        <v>22</v>
      </c>
      <c r="C435" s="37" t="s">
        <v>192</v>
      </c>
      <c r="D435" s="37" t="s">
        <v>931</v>
      </c>
      <c r="E435" s="37" t="s">
        <v>1</v>
      </c>
      <c r="F435" s="13">
        <f>F436</f>
        <v>500000</v>
      </c>
      <c r="G435" s="2"/>
      <c r="I435" s="13"/>
      <c r="J435" s="2"/>
      <c r="L435" s="69"/>
      <c r="M435" s="69"/>
    </row>
    <row r="436" spans="1:13" ht="31.5" outlineLevel="6">
      <c r="A436" s="36" t="s">
        <v>458</v>
      </c>
      <c r="B436" s="37" t="s">
        <v>22</v>
      </c>
      <c r="C436" s="37" t="s">
        <v>192</v>
      </c>
      <c r="D436" s="37" t="s">
        <v>932</v>
      </c>
      <c r="E436" s="37" t="s">
        <v>1</v>
      </c>
      <c r="F436" s="13">
        <f>F437</f>
        <v>500000</v>
      </c>
      <c r="G436" s="2"/>
      <c r="I436" s="13"/>
      <c r="J436" s="2"/>
      <c r="L436" s="69"/>
      <c r="M436" s="69"/>
    </row>
    <row r="437" spans="1:13" ht="31.5" outlineLevel="6">
      <c r="A437" s="36" t="s">
        <v>689</v>
      </c>
      <c r="B437" s="37" t="s">
        <v>22</v>
      </c>
      <c r="C437" s="37" t="s">
        <v>192</v>
      </c>
      <c r="D437" s="37" t="s">
        <v>932</v>
      </c>
      <c r="E437" s="37" t="s">
        <v>17</v>
      </c>
      <c r="F437" s="13">
        <f>'Приложение_7 '!G443</f>
        <v>500000</v>
      </c>
      <c r="G437" s="2"/>
      <c r="I437" s="13"/>
      <c r="J437" s="2"/>
      <c r="L437" s="69"/>
      <c r="M437" s="69"/>
    </row>
    <row r="438" spans="1:13" ht="63" outlineLevel="3">
      <c r="A438" s="42" t="s">
        <v>631</v>
      </c>
      <c r="B438" s="43" t="s">
        <v>22</v>
      </c>
      <c r="C438" s="43" t="s">
        <v>192</v>
      </c>
      <c r="D438" s="43" t="s">
        <v>197</v>
      </c>
      <c r="E438" s="43" t="s">
        <v>1</v>
      </c>
      <c r="F438" s="12">
        <f>F439+F445+F451</f>
        <v>21937440.990000002</v>
      </c>
      <c r="G438" s="1"/>
      <c r="I438" s="12">
        <v>23042258.4</v>
      </c>
      <c r="J438" s="1"/>
      <c r="L438" s="69">
        <f t="shared" si="12"/>
        <v>-1104817.4099999964</v>
      </c>
      <c r="M438" s="69">
        <f t="shared" si="13"/>
        <v>0</v>
      </c>
    </row>
    <row r="439" spans="1:13" ht="63" outlineLevel="4">
      <c r="A439" s="19" t="s">
        <v>543</v>
      </c>
      <c r="B439" s="20" t="s">
        <v>22</v>
      </c>
      <c r="C439" s="20" t="s">
        <v>192</v>
      </c>
      <c r="D439" s="20" t="s">
        <v>198</v>
      </c>
      <c r="E439" s="20" t="s">
        <v>1</v>
      </c>
      <c r="F439" s="13">
        <f>F440</f>
        <v>5933519.91</v>
      </c>
      <c r="G439" s="2"/>
      <c r="I439" s="13">
        <v>7135642.05</v>
      </c>
      <c r="J439" s="2"/>
      <c r="L439" s="69">
        <f t="shared" si="12"/>
        <v>-1202122.1399999997</v>
      </c>
      <c r="M439" s="69">
        <f t="shared" si="13"/>
        <v>0</v>
      </c>
    </row>
    <row r="440" spans="1:13" ht="63" outlineLevel="5">
      <c r="A440" s="19" t="s">
        <v>443</v>
      </c>
      <c r="B440" s="20" t="s">
        <v>22</v>
      </c>
      <c r="C440" s="20" t="s">
        <v>192</v>
      </c>
      <c r="D440" s="20" t="s">
        <v>199</v>
      </c>
      <c r="E440" s="20" t="s">
        <v>1</v>
      </c>
      <c r="F440" s="13">
        <f>F441+F442+F443+F444</f>
        <v>5933519.91</v>
      </c>
      <c r="G440" s="2"/>
      <c r="I440" s="13">
        <v>7135642.05</v>
      </c>
      <c r="J440" s="2"/>
      <c r="L440" s="69">
        <f t="shared" si="12"/>
        <v>-1202122.1399999997</v>
      </c>
      <c r="M440" s="69">
        <f t="shared" si="13"/>
        <v>0</v>
      </c>
    </row>
    <row r="441" spans="1:13" ht="78.75" outlineLevel="6">
      <c r="A441" s="19" t="s">
        <v>704</v>
      </c>
      <c r="B441" s="20" t="s">
        <v>22</v>
      </c>
      <c r="C441" s="20" t="s">
        <v>192</v>
      </c>
      <c r="D441" s="20" t="s">
        <v>199</v>
      </c>
      <c r="E441" s="20" t="s">
        <v>10</v>
      </c>
      <c r="F441" s="13">
        <f>'Приложение_7 '!G447</f>
        <v>5277891.38</v>
      </c>
      <c r="G441" s="2"/>
      <c r="I441" s="13">
        <v>5277891.38</v>
      </c>
      <c r="J441" s="2"/>
      <c r="L441" s="69">
        <f t="shared" si="12"/>
        <v>0</v>
      </c>
      <c r="M441" s="69">
        <f t="shared" si="13"/>
        <v>0</v>
      </c>
    </row>
    <row r="442" spans="1:13" ht="31.5" outlineLevel="6">
      <c r="A442" s="19" t="s">
        <v>689</v>
      </c>
      <c r="B442" s="20" t="s">
        <v>22</v>
      </c>
      <c r="C442" s="20" t="s">
        <v>192</v>
      </c>
      <c r="D442" s="20" t="s">
        <v>199</v>
      </c>
      <c r="E442" s="20" t="s">
        <v>17</v>
      </c>
      <c r="F442" s="13">
        <f>'Приложение_7 '!G448</f>
        <v>178070.85</v>
      </c>
      <c r="G442" s="2"/>
      <c r="I442" s="13">
        <v>178070.85</v>
      </c>
      <c r="J442" s="2"/>
      <c r="L442" s="69">
        <f t="shared" si="12"/>
        <v>0</v>
      </c>
      <c r="M442" s="69">
        <f t="shared" si="13"/>
        <v>0</v>
      </c>
    </row>
    <row r="443" spans="1:13" ht="31.5" outlineLevel="6">
      <c r="A443" s="19" t="s">
        <v>690</v>
      </c>
      <c r="B443" s="20" t="s">
        <v>22</v>
      </c>
      <c r="C443" s="20" t="s">
        <v>192</v>
      </c>
      <c r="D443" s="20" t="s">
        <v>199</v>
      </c>
      <c r="E443" s="20" t="s">
        <v>47</v>
      </c>
      <c r="F443" s="13">
        <f>'Приложение_7 '!G449</f>
        <v>282169.68000000017</v>
      </c>
      <c r="G443" s="2"/>
      <c r="I443" s="13">
        <v>1485091.82</v>
      </c>
      <c r="J443" s="2"/>
      <c r="L443" s="69">
        <f t="shared" si="12"/>
        <v>-1202922.14</v>
      </c>
      <c r="M443" s="69">
        <f t="shared" si="13"/>
        <v>0</v>
      </c>
    </row>
    <row r="444" spans="1:13" ht="15.75" outlineLevel="6">
      <c r="A444" s="19" t="s">
        <v>691</v>
      </c>
      <c r="B444" s="20" t="s">
        <v>22</v>
      </c>
      <c r="C444" s="20" t="s">
        <v>192</v>
      </c>
      <c r="D444" s="20" t="s">
        <v>199</v>
      </c>
      <c r="E444" s="20" t="s">
        <v>65</v>
      </c>
      <c r="F444" s="13">
        <f>'Приложение_7 '!G450</f>
        <v>195388</v>
      </c>
      <c r="G444" s="2"/>
      <c r="I444" s="13">
        <v>194588</v>
      </c>
      <c r="J444" s="2"/>
      <c r="L444" s="69">
        <f t="shared" si="12"/>
        <v>800</v>
      </c>
      <c r="M444" s="69">
        <f t="shared" si="13"/>
        <v>0</v>
      </c>
    </row>
    <row r="445" spans="1:13" ht="94.5" outlineLevel="4">
      <c r="A445" s="19" t="s">
        <v>544</v>
      </c>
      <c r="B445" s="20" t="s">
        <v>22</v>
      </c>
      <c r="C445" s="20" t="s">
        <v>192</v>
      </c>
      <c r="D445" s="20" t="s">
        <v>200</v>
      </c>
      <c r="E445" s="20" t="s">
        <v>1</v>
      </c>
      <c r="F445" s="13">
        <f>F446+F449</f>
        <v>10184752.99</v>
      </c>
      <c r="G445" s="2"/>
      <c r="I445" s="13">
        <v>9871044.22</v>
      </c>
      <c r="J445" s="2"/>
      <c r="L445" s="69">
        <f t="shared" si="12"/>
        <v>313708.76999999955</v>
      </c>
      <c r="M445" s="69">
        <f t="shared" si="13"/>
        <v>0</v>
      </c>
    </row>
    <row r="446" spans="1:13" ht="63" outlineLevel="5">
      <c r="A446" s="19" t="s">
        <v>443</v>
      </c>
      <c r="B446" s="20" t="s">
        <v>22</v>
      </c>
      <c r="C446" s="20" t="s">
        <v>192</v>
      </c>
      <c r="D446" s="20" t="s">
        <v>201</v>
      </c>
      <c r="E446" s="20" t="s">
        <v>1</v>
      </c>
      <c r="F446" s="13">
        <f>F447+F448</f>
        <v>9737645.8</v>
      </c>
      <c r="G446" s="1"/>
      <c r="I446" s="13">
        <v>9586044.22</v>
      </c>
      <c r="J446" s="1"/>
      <c r="L446" s="69">
        <f t="shared" si="12"/>
        <v>151601.58000000007</v>
      </c>
      <c r="M446" s="69">
        <f t="shared" si="13"/>
        <v>0</v>
      </c>
    </row>
    <row r="447" spans="1:13" ht="78.75" outlineLevel="6">
      <c r="A447" s="19" t="s">
        <v>704</v>
      </c>
      <c r="B447" s="20" t="s">
        <v>22</v>
      </c>
      <c r="C447" s="20" t="s">
        <v>192</v>
      </c>
      <c r="D447" s="20" t="s">
        <v>201</v>
      </c>
      <c r="E447" s="20" t="s">
        <v>10</v>
      </c>
      <c r="F447" s="13">
        <f>'Приложение_7 '!G453</f>
        <v>9186896.15</v>
      </c>
      <c r="G447" s="2"/>
      <c r="I447" s="13">
        <v>9186896.15</v>
      </c>
      <c r="J447" s="2"/>
      <c r="L447" s="69">
        <f t="shared" si="12"/>
        <v>0</v>
      </c>
      <c r="M447" s="69">
        <f t="shared" si="13"/>
        <v>0</v>
      </c>
    </row>
    <row r="448" spans="1:13" ht="31.5" outlineLevel="6">
      <c r="A448" s="19" t="s">
        <v>689</v>
      </c>
      <c r="B448" s="20" t="s">
        <v>22</v>
      </c>
      <c r="C448" s="20" t="s">
        <v>192</v>
      </c>
      <c r="D448" s="20" t="s">
        <v>201</v>
      </c>
      <c r="E448" s="20" t="s">
        <v>17</v>
      </c>
      <c r="F448" s="13">
        <f>'Приложение_7 '!G454</f>
        <v>550749.65</v>
      </c>
      <c r="G448" s="2"/>
      <c r="I448" s="13">
        <v>399148.07</v>
      </c>
      <c r="J448" s="2"/>
      <c r="L448" s="69">
        <f t="shared" si="12"/>
        <v>151601.58000000002</v>
      </c>
      <c r="M448" s="69">
        <f t="shared" si="13"/>
        <v>0</v>
      </c>
    </row>
    <row r="449" spans="1:13" ht="63" outlineLevel="5">
      <c r="A449" s="19" t="s">
        <v>432</v>
      </c>
      <c r="B449" s="20" t="s">
        <v>22</v>
      </c>
      <c r="C449" s="20" t="s">
        <v>192</v>
      </c>
      <c r="D449" s="20" t="s">
        <v>202</v>
      </c>
      <c r="E449" s="20" t="s">
        <v>1</v>
      </c>
      <c r="F449" s="13">
        <f>F450</f>
        <v>447107.18999999994</v>
      </c>
      <c r="G449" s="2"/>
      <c r="I449" s="13">
        <v>285000</v>
      </c>
      <c r="J449" s="2"/>
      <c r="L449" s="69">
        <f t="shared" si="12"/>
        <v>162107.18999999994</v>
      </c>
      <c r="M449" s="69">
        <f t="shared" si="13"/>
        <v>0</v>
      </c>
    </row>
    <row r="450" spans="1:13" ht="78.75" outlineLevel="6">
      <c r="A450" s="19" t="s">
        <v>704</v>
      </c>
      <c r="B450" s="20" t="s">
        <v>22</v>
      </c>
      <c r="C450" s="20" t="s">
        <v>192</v>
      </c>
      <c r="D450" s="20" t="s">
        <v>202</v>
      </c>
      <c r="E450" s="20" t="s">
        <v>10</v>
      </c>
      <c r="F450" s="13">
        <f>'Приложение_7 '!G456</f>
        <v>447107.18999999994</v>
      </c>
      <c r="G450" s="2"/>
      <c r="I450" s="13">
        <v>285000</v>
      </c>
      <c r="J450" s="2"/>
      <c r="L450" s="69">
        <f t="shared" si="12"/>
        <v>162107.18999999994</v>
      </c>
      <c r="M450" s="69">
        <f t="shared" si="13"/>
        <v>0</v>
      </c>
    </row>
    <row r="451" spans="1:13" ht="94.5" outlineLevel="4">
      <c r="A451" s="19" t="s">
        <v>545</v>
      </c>
      <c r="B451" s="20" t="s">
        <v>22</v>
      </c>
      <c r="C451" s="20" t="s">
        <v>192</v>
      </c>
      <c r="D451" s="20" t="s">
        <v>203</v>
      </c>
      <c r="E451" s="20" t="s">
        <v>1</v>
      </c>
      <c r="F451" s="13">
        <f>F452</f>
        <v>5819168.09</v>
      </c>
      <c r="G451" s="2"/>
      <c r="I451" s="13">
        <v>6035572.13</v>
      </c>
      <c r="J451" s="2"/>
      <c r="L451" s="69">
        <f t="shared" si="12"/>
        <v>-216404.04000000004</v>
      </c>
      <c r="M451" s="69">
        <f t="shared" si="13"/>
        <v>0</v>
      </c>
    </row>
    <row r="452" spans="1:13" ht="63" outlineLevel="5">
      <c r="A452" s="19" t="s">
        <v>443</v>
      </c>
      <c r="B452" s="20" t="s">
        <v>22</v>
      </c>
      <c r="C452" s="20" t="s">
        <v>192</v>
      </c>
      <c r="D452" s="20" t="s">
        <v>204</v>
      </c>
      <c r="E452" s="20" t="s">
        <v>1</v>
      </c>
      <c r="F452" s="13">
        <f>F453+F454</f>
        <v>5819168.09</v>
      </c>
      <c r="G452" s="2"/>
      <c r="I452" s="13">
        <v>6035572.13</v>
      </c>
      <c r="J452" s="2"/>
      <c r="L452" s="69">
        <f aca="true" t="shared" si="14" ref="L452:L543">F452-I452</f>
        <v>-216404.04000000004</v>
      </c>
      <c r="M452" s="69">
        <f aca="true" t="shared" si="15" ref="M452:M543">G452-J452</f>
        <v>0</v>
      </c>
    </row>
    <row r="453" spans="1:13" ht="78.75" outlineLevel="6">
      <c r="A453" s="19" t="s">
        <v>704</v>
      </c>
      <c r="B453" s="20" t="s">
        <v>22</v>
      </c>
      <c r="C453" s="20" t="s">
        <v>192</v>
      </c>
      <c r="D453" s="20" t="s">
        <v>204</v>
      </c>
      <c r="E453" s="20" t="s">
        <v>10</v>
      </c>
      <c r="F453" s="13">
        <f>'Приложение_7 '!G459</f>
        <v>5305905.13</v>
      </c>
      <c r="G453" s="2"/>
      <c r="I453" s="13">
        <v>5630310.41</v>
      </c>
      <c r="J453" s="2"/>
      <c r="L453" s="69">
        <f t="shared" si="14"/>
        <v>-324405.28000000026</v>
      </c>
      <c r="M453" s="69">
        <f t="shared" si="15"/>
        <v>0</v>
      </c>
    </row>
    <row r="454" spans="1:13" ht="31.5" outlineLevel="6">
      <c r="A454" s="19" t="s">
        <v>689</v>
      </c>
      <c r="B454" s="20" t="s">
        <v>22</v>
      </c>
      <c r="C454" s="20" t="s">
        <v>192</v>
      </c>
      <c r="D454" s="20" t="s">
        <v>204</v>
      </c>
      <c r="E454" s="20" t="s">
        <v>17</v>
      </c>
      <c r="F454" s="13">
        <f>'Приложение_7 '!G460</f>
        <v>513262.95999999996</v>
      </c>
      <c r="G454" s="2"/>
      <c r="I454" s="13">
        <v>405261.72</v>
      </c>
      <c r="J454" s="2"/>
      <c r="L454" s="69">
        <f t="shared" si="14"/>
        <v>108001.23999999999</v>
      </c>
      <c r="M454" s="69">
        <f t="shared" si="15"/>
        <v>0</v>
      </c>
    </row>
    <row r="455" spans="1:13" s="68" customFormat="1" ht="15.75">
      <c r="A455" s="42" t="s">
        <v>695</v>
      </c>
      <c r="B455" s="43" t="s">
        <v>159</v>
      </c>
      <c r="C455" s="43" t="s">
        <v>3</v>
      </c>
      <c r="D455" s="43" t="s">
        <v>4</v>
      </c>
      <c r="E455" s="43" t="s">
        <v>1</v>
      </c>
      <c r="F455" s="12">
        <f>F456+F480+F502+F539</f>
        <v>162150821.65</v>
      </c>
      <c r="G455" s="12">
        <f>G456+G480+G502+G539</f>
        <v>31408633.19</v>
      </c>
      <c r="I455" s="12">
        <v>105992870.46</v>
      </c>
      <c r="J455" s="1"/>
      <c r="L455" s="69">
        <f t="shared" si="14"/>
        <v>56157951.19000001</v>
      </c>
      <c r="M455" s="69">
        <f t="shared" si="15"/>
        <v>31408633.19</v>
      </c>
    </row>
    <row r="456" spans="1:13" s="68" customFormat="1" ht="24.75" customHeight="1" outlineLevel="1">
      <c r="A456" s="42" t="s">
        <v>672</v>
      </c>
      <c r="B456" s="43" t="s">
        <v>159</v>
      </c>
      <c r="C456" s="43" t="s">
        <v>2</v>
      </c>
      <c r="D456" s="43" t="s">
        <v>4</v>
      </c>
      <c r="E456" s="43" t="s">
        <v>1</v>
      </c>
      <c r="F456" s="12">
        <f>F457+F470</f>
        <v>54972735.279999994</v>
      </c>
      <c r="G456" s="12">
        <f>G457+G470</f>
        <v>21819763.19</v>
      </c>
      <c r="I456" s="12">
        <v>31251058.4</v>
      </c>
      <c r="J456" s="1"/>
      <c r="L456" s="69">
        <f t="shared" si="14"/>
        <v>23721676.879999995</v>
      </c>
      <c r="M456" s="69">
        <f t="shared" si="15"/>
        <v>21819763.19</v>
      </c>
    </row>
    <row r="457" spans="1:13" ht="63" outlineLevel="2">
      <c r="A457" s="42" t="s">
        <v>656</v>
      </c>
      <c r="B457" s="43" t="s">
        <v>159</v>
      </c>
      <c r="C457" s="43" t="s">
        <v>2</v>
      </c>
      <c r="D457" s="43" t="s">
        <v>160</v>
      </c>
      <c r="E457" s="43" t="s">
        <v>1</v>
      </c>
      <c r="F457" s="12">
        <f>F458</f>
        <v>51464255.279999994</v>
      </c>
      <c r="G457" s="12">
        <f>G458</f>
        <v>21819763.19</v>
      </c>
      <c r="I457" s="12">
        <v>30564578.4</v>
      </c>
      <c r="J457" s="1"/>
      <c r="L457" s="69">
        <f t="shared" si="14"/>
        <v>20899676.879999995</v>
      </c>
      <c r="M457" s="69">
        <f t="shared" si="15"/>
        <v>21819763.19</v>
      </c>
    </row>
    <row r="458" spans="1:13" s="128" customFormat="1" ht="31.5" outlineLevel="3">
      <c r="A458" s="70" t="s">
        <v>632</v>
      </c>
      <c r="B458" s="71" t="s">
        <v>159</v>
      </c>
      <c r="C458" s="71" t="s">
        <v>2</v>
      </c>
      <c r="D458" s="71" t="s">
        <v>205</v>
      </c>
      <c r="E458" s="71" t="s">
        <v>1</v>
      </c>
      <c r="F458" s="72">
        <f>F459+F462+F467</f>
        <v>51464255.279999994</v>
      </c>
      <c r="G458" s="72">
        <f>G459+G462+G467+G465</f>
        <v>21819763.19</v>
      </c>
      <c r="I458" s="131">
        <v>30564578.4</v>
      </c>
      <c r="J458" s="129"/>
      <c r="L458" s="130">
        <f t="shared" si="14"/>
        <v>20899676.879999995</v>
      </c>
      <c r="M458" s="130">
        <f t="shared" si="15"/>
        <v>21819763.19</v>
      </c>
    </row>
    <row r="459" spans="1:13" ht="15.75" outlineLevel="4">
      <c r="A459" s="63" t="s">
        <v>546</v>
      </c>
      <c r="B459" s="64" t="s">
        <v>159</v>
      </c>
      <c r="C459" s="64" t="s">
        <v>2</v>
      </c>
      <c r="D459" s="64" t="s">
        <v>206</v>
      </c>
      <c r="E459" s="64" t="s">
        <v>1</v>
      </c>
      <c r="F459" s="65">
        <f>F460</f>
        <v>6532132.869999999</v>
      </c>
      <c r="G459" s="66"/>
      <c r="I459" s="13">
        <v>7452219.18</v>
      </c>
      <c r="J459" s="2"/>
      <c r="L459" s="69">
        <f t="shared" si="14"/>
        <v>-920086.3100000005</v>
      </c>
      <c r="M459" s="69">
        <f t="shared" si="15"/>
        <v>0</v>
      </c>
    </row>
    <row r="460" spans="1:13" ht="31.5" outlineLevel="5">
      <c r="A460" s="63" t="s">
        <v>456</v>
      </c>
      <c r="B460" s="64" t="s">
        <v>159</v>
      </c>
      <c r="C460" s="64" t="s">
        <v>2</v>
      </c>
      <c r="D460" s="64" t="s">
        <v>207</v>
      </c>
      <c r="E460" s="64" t="s">
        <v>1</v>
      </c>
      <c r="F460" s="65">
        <f>F461</f>
        <v>6532132.869999999</v>
      </c>
      <c r="G460" s="66"/>
      <c r="I460" s="13">
        <v>7452219.18</v>
      </c>
      <c r="J460" s="2"/>
      <c r="L460" s="69">
        <f t="shared" si="14"/>
        <v>-920086.3100000005</v>
      </c>
      <c r="M460" s="69">
        <f t="shared" si="15"/>
        <v>0</v>
      </c>
    </row>
    <row r="461" spans="1:13" ht="31.5" outlineLevel="6">
      <c r="A461" s="63" t="s">
        <v>689</v>
      </c>
      <c r="B461" s="64" t="s">
        <v>159</v>
      </c>
      <c r="C461" s="64" t="s">
        <v>2</v>
      </c>
      <c r="D461" s="64" t="s">
        <v>207</v>
      </c>
      <c r="E461" s="64" t="s">
        <v>17</v>
      </c>
      <c r="F461" s="65">
        <f>'Приложение_7 '!G467</f>
        <v>6532132.869999999</v>
      </c>
      <c r="G461" s="66"/>
      <c r="I461" s="13">
        <v>7452219.18</v>
      </c>
      <c r="J461" s="2"/>
      <c r="L461" s="69">
        <f t="shared" si="14"/>
        <v>-920086.3100000005</v>
      </c>
      <c r="M461" s="69">
        <f t="shared" si="15"/>
        <v>0</v>
      </c>
    </row>
    <row r="462" spans="1:13" s="128" customFormat="1" ht="69" customHeight="1" outlineLevel="4">
      <c r="A462" s="103" t="s">
        <v>547</v>
      </c>
      <c r="B462" s="64" t="s">
        <v>159</v>
      </c>
      <c r="C462" s="64" t="s">
        <v>2</v>
      </c>
      <c r="D462" s="64" t="s">
        <v>208</v>
      </c>
      <c r="E462" s="64" t="s">
        <v>1</v>
      </c>
      <c r="F462" s="65">
        <f>F463+F465</f>
        <v>42141426.47</v>
      </c>
      <c r="G462" s="66">
        <f>G463</f>
        <v>21819763.19</v>
      </c>
      <c r="I462" s="112">
        <v>20321663.28</v>
      </c>
      <c r="J462" s="129"/>
      <c r="L462" s="130">
        <f t="shared" si="14"/>
        <v>21819763.189999998</v>
      </c>
      <c r="M462" s="130">
        <f t="shared" si="15"/>
        <v>21819763.19</v>
      </c>
    </row>
    <row r="463" spans="1:13" ht="69" customHeight="1" outlineLevel="4">
      <c r="A463" s="36" t="s">
        <v>920</v>
      </c>
      <c r="B463" s="20" t="s">
        <v>159</v>
      </c>
      <c r="C463" s="20" t="s">
        <v>2</v>
      </c>
      <c r="D463" s="37" t="s">
        <v>921</v>
      </c>
      <c r="E463" s="20" t="s">
        <v>1</v>
      </c>
      <c r="F463" s="13">
        <f>F464</f>
        <v>21819763.19</v>
      </c>
      <c r="G463" s="2">
        <f>F463</f>
        <v>21819763.19</v>
      </c>
      <c r="I463" s="13"/>
      <c r="J463" s="1"/>
      <c r="L463" s="69"/>
      <c r="M463" s="69"/>
    </row>
    <row r="464" spans="1:13" ht="29.25" customHeight="1" outlineLevel="4">
      <c r="A464" s="36" t="s">
        <v>689</v>
      </c>
      <c r="B464" s="20" t="s">
        <v>159</v>
      </c>
      <c r="C464" s="20" t="s">
        <v>2</v>
      </c>
      <c r="D464" s="37" t="s">
        <v>921</v>
      </c>
      <c r="E464" s="20" t="s">
        <v>17</v>
      </c>
      <c r="F464" s="13">
        <f>'Приложение_7 '!G470</f>
        <v>21819763.19</v>
      </c>
      <c r="G464" s="2">
        <f>F464</f>
        <v>21819763.19</v>
      </c>
      <c r="I464" s="13"/>
      <c r="J464" s="1"/>
      <c r="L464" s="69"/>
      <c r="M464" s="69"/>
    </row>
    <row r="465" spans="1:13" ht="78.75" outlineLevel="5">
      <c r="A465" s="36" t="s">
        <v>920</v>
      </c>
      <c r="B465" s="20" t="s">
        <v>159</v>
      </c>
      <c r="C465" s="20" t="s">
        <v>2</v>
      </c>
      <c r="D465" s="37" t="s">
        <v>919</v>
      </c>
      <c r="E465" s="20" t="s">
        <v>1</v>
      </c>
      <c r="F465" s="13">
        <f>F466</f>
        <v>20321663.28</v>
      </c>
      <c r="G465" s="2"/>
      <c r="I465" s="13">
        <v>20321663.28</v>
      </c>
      <c r="J465" s="2"/>
      <c r="L465" s="69">
        <f t="shared" si="14"/>
        <v>0</v>
      </c>
      <c r="M465" s="69">
        <f t="shared" si="15"/>
        <v>0</v>
      </c>
    </row>
    <row r="466" spans="1:13" ht="31.5" outlineLevel="6">
      <c r="A466" s="36" t="s">
        <v>689</v>
      </c>
      <c r="B466" s="20" t="s">
        <v>159</v>
      </c>
      <c r="C466" s="20" t="s">
        <v>2</v>
      </c>
      <c r="D466" s="37" t="s">
        <v>919</v>
      </c>
      <c r="E466" s="20" t="s">
        <v>17</v>
      </c>
      <c r="F466" s="13">
        <f>'Приложение_7 '!G472</f>
        <v>20321663.28</v>
      </c>
      <c r="G466" s="2"/>
      <c r="I466" s="13">
        <v>20321663.28</v>
      </c>
      <c r="J466" s="2"/>
      <c r="L466" s="69">
        <f t="shared" si="14"/>
        <v>0</v>
      </c>
      <c r="M466" s="69">
        <f t="shared" si="15"/>
        <v>0</v>
      </c>
    </row>
    <row r="467" spans="1:13" ht="63" outlineLevel="4">
      <c r="A467" s="19" t="s">
        <v>548</v>
      </c>
      <c r="B467" s="20" t="s">
        <v>159</v>
      </c>
      <c r="C467" s="20" t="s">
        <v>2</v>
      </c>
      <c r="D467" s="20" t="s">
        <v>209</v>
      </c>
      <c r="E467" s="20" t="s">
        <v>1</v>
      </c>
      <c r="F467" s="13">
        <f>F468</f>
        <v>2790695.94</v>
      </c>
      <c r="G467" s="2"/>
      <c r="I467" s="13">
        <v>2790695.94</v>
      </c>
      <c r="J467" s="2"/>
      <c r="L467" s="69">
        <f t="shared" si="14"/>
        <v>0</v>
      </c>
      <c r="M467" s="69">
        <f t="shared" si="15"/>
        <v>0</v>
      </c>
    </row>
    <row r="468" spans="1:13" ht="31.5" outlineLevel="5">
      <c r="A468" s="19" t="s">
        <v>459</v>
      </c>
      <c r="B468" s="20" t="s">
        <v>159</v>
      </c>
      <c r="C468" s="20" t="s">
        <v>2</v>
      </c>
      <c r="D468" s="20" t="s">
        <v>210</v>
      </c>
      <c r="E468" s="20" t="s">
        <v>1</v>
      </c>
      <c r="F468" s="13">
        <f>F469</f>
        <v>2790695.94</v>
      </c>
      <c r="G468" s="2"/>
      <c r="I468" s="13">
        <v>2790695.94</v>
      </c>
      <c r="J468" s="2"/>
      <c r="L468" s="69">
        <f t="shared" si="14"/>
        <v>0</v>
      </c>
      <c r="M468" s="69">
        <f t="shared" si="15"/>
        <v>0</v>
      </c>
    </row>
    <row r="469" spans="1:13" ht="31.5" outlineLevel="6">
      <c r="A469" s="19" t="s">
        <v>689</v>
      </c>
      <c r="B469" s="20" t="s">
        <v>159</v>
      </c>
      <c r="C469" s="20" t="s">
        <v>2</v>
      </c>
      <c r="D469" s="20" t="s">
        <v>210</v>
      </c>
      <c r="E469" s="20" t="s">
        <v>17</v>
      </c>
      <c r="F469" s="13">
        <f>'Приложение_7 '!G475</f>
        <v>2790695.94</v>
      </c>
      <c r="G469" s="2"/>
      <c r="I469" s="13">
        <v>2790695.94</v>
      </c>
      <c r="J469" s="2"/>
      <c r="L469" s="69">
        <f t="shared" si="14"/>
        <v>0</v>
      </c>
      <c r="M469" s="69">
        <f t="shared" si="15"/>
        <v>0</v>
      </c>
    </row>
    <row r="470" spans="1:13" ht="47.25" outlineLevel="2">
      <c r="A470" s="42" t="s">
        <v>618</v>
      </c>
      <c r="B470" s="43" t="s">
        <v>159</v>
      </c>
      <c r="C470" s="43" t="s">
        <v>2</v>
      </c>
      <c r="D470" s="43" t="s">
        <v>80</v>
      </c>
      <c r="E470" s="43" t="s">
        <v>1</v>
      </c>
      <c r="F470" s="12">
        <f>F471+F475+F477</f>
        <v>3508480</v>
      </c>
      <c r="G470" s="1"/>
      <c r="I470" s="12">
        <v>686480</v>
      </c>
      <c r="J470" s="1"/>
      <c r="L470" s="69">
        <f t="shared" si="14"/>
        <v>2822000</v>
      </c>
      <c r="M470" s="69">
        <f t="shared" si="15"/>
        <v>0</v>
      </c>
    </row>
    <row r="471" spans="1:13" ht="31.5" outlineLevel="4">
      <c r="A471" s="36" t="s">
        <v>922</v>
      </c>
      <c r="B471" s="20" t="s">
        <v>159</v>
      </c>
      <c r="C471" s="20" t="s">
        <v>2</v>
      </c>
      <c r="D471" s="37" t="s">
        <v>923</v>
      </c>
      <c r="E471" s="20" t="s">
        <v>1</v>
      </c>
      <c r="F471" s="13">
        <f>F472</f>
        <v>2400000</v>
      </c>
      <c r="G471" s="2"/>
      <c r="I471" s="13">
        <v>686480</v>
      </c>
      <c r="J471" s="2"/>
      <c r="L471" s="69">
        <f t="shared" si="14"/>
        <v>1713520</v>
      </c>
      <c r="M471" s="69">
        <f t="shared" si="15"/>
        <v>0</v>
      </c>
    </row>
    <row r="472" spans="1:13" ht="31.5" outlineLevel="5">
      <c r="A472" s="19" t="s">
        <v>441</v>
      </c>
      <c r="B472" s="20" t="s">
        <v>159</v>
      </c>
      <c r="C472" s="20" t="s">
        <v>2</v>
      </c>
      <c r="D472" s="37" t="s">
        <v>924</v>
      </c>
      <c r="E472" s="20" t="s">
        <v>1</v>
      </c>
      <c r="F472" s="13">
        <f>F473</f>
        <v>2400000</v>
      </c>
      <c r="G472" s="2"/>
      <c r="I472" s="13">
        <v>686480</v>
      </c>
      <c r="J472" s="2"/>
      <c r="L472" s="69">
        <f t="shared" si="14"/>
        <v>1713520</v>
      </c>
      <c r="M472" s="69">
        <f t="shared" si="15"/>
        <v>0</v>
      </c>
    </row>
    <row r="473" spans="1:13" s="67" customFormat="1" ht="31.5" outlineLevel="6">
      <c r="A473" s="63" t="s">
        <v>689</v>
      </c>
      <c r="B473" s="64" t="s">
        <v>159</v>
      </c>
      <c r="C473" s="64" t="s">
        <v>2</v>
      </c>
      <c r="D473" s="37" t="s">
        <v>924</v>
      </c>
      <c r="E473" s="64" t="s">
        <v>17</v>
      </c>
      <c r="F473" s="65">
        <f>'Приложение_7 '!G479</f>
        <v>2400000</v>
      </c>
      <c r="G473" s="66"/>
      <c r="I473" s="65">
        <v>686480</v>
      </c>
      <c r="J473" s="66"/>
      <c r="L473" s="69">
        <f t="shared" si="14"/>
        <v>1713520</v>
      </c>
      <c r="M473" s="69">
        <f t="shared" si="15"/>
        <v>0</v>
      </c>
    </row>
    <row r="474" spans="1:13" s="67" customFormat="1" ht="47.25" outlineLevel="6">
      <c r="A474" s="36" t="s">
        <v>895</v>
      </c>
      <c r="B474" s="37" t="s">
        <v>159</v>
      </c>
      <c r="C474" s="37" t="s">
        <v>2</v>
      </c>
      <c r="D474" s="37" t="s">
        <v>896</v>
      </c>
      <c r="E474" s="37" t="s">
        <v>1</v>
      </c>
      <c r="F474" s="38">
        <f>F475</f>
        <v>381600</v>
      </c>
      <c r="G474" s="66"/>
      <c r="I474" s="65"/>
      <c r="J474" s="66"/>
      <c r="L474" s="69"/>
      <c r="M474" s="69"/>
    </row>
    <row r="475" spans="1:13" s="67" customFormat="1" ht="31.5" outlineLevel="6">
      <c r="A475" s="36" t="s">
        <v>441</v>
      </c>
      <c r="B475" s="37" t="s">
        <v>159</v>
      </c>
      <c r="C475" s="37" t="s">
        <v>2</v>
      </c>
      <c r="D475" s="37" t="s">
        <v>897</v>
      </c>
      <c r="E475" s="37" t="s">
        <v>1</v>
      </c>
      <c r="F475" s="38">
        <f>F476</f>
        <v>381600</v>
      </c>
      <c r="G475" s="66"/>
      <c r="I475" s="65"/>
      <c r="J475" s="66"/>
      <c r="L475" s="69"/>
      <c r="M475" s="69"/>
    </row>
    <row r="476" spans="1:13" s="67" customFormat="1" ht="31.5" outlineLevel="6">
      <c r="A476" s="36" t="s">
        <v>689</v>
      </c>
      <c r="B476" s="37" t="s">
        <v>159</v>
      </c>
      <c r="C476" s="37" t="s">
        <v>2</v>
      </c>
      <c r="D476" s="37" t="s">
        <v>897</v>
      </c>
      <c r="E476" s="37" t="s">
        <v>17</v>
      </c>
      <c r="F476" s="38">
        <f>'Приложение_7 '!G482</f>
        <v>381600</v>
      </c>
      <c r="G476" s="66"/>
      <c r="I476" s="65"/>
      <c r="J476" s="66"/>
      <c r="L476" s="69"/>
      <c r="M476" s="69"/>
    </row>
    <row r="477" spans="1:13" s="67" customFormat="1" ht="63" outlineLevel="6">
      <c r="A477" s="36" t="s">
        <v>898</v>
      </c>
      <c r="B477" s="37" t="s">
        <v>159</v>
      </c>
      <c r="C477" s="37" t="s">
        <v>2</v>
      </c>
      <c r="D477" s="37" t="s">
        <v>899</v>
      </c>
      <c r="E477" s="37" t="s">
        <v>1</v>
      </c>
      <c r="F477" s="38">
        <f>F478</f>
        <v>726880</v>
      </c>
      <c r="G477" s="66"/>
      <c r="I477" s="65"/>
      <c r="J477" s="66"/>
      <c r="L477" s="69"/>
      <c r="M477" s="69"/>
    </row>
    <row r="478" spans="1:13" s="67" customFormat="1" ht="31.5" outlineLevel="6">
      <c r="A478" s="36" t="s">
        <v>441</v>
      </c>
      <c r="B478" s="37" t="s">
        <v>159</v>
      </c>
      <c r="C478" s="37" t="s">
        <v>2</v>
      </c>
      <c r="D478" s="37" t="s">
        <v>900</v>
      </c>
      <c r="E478" s="37" t="s">
        <v>1</v>
      </c>
      <c r="F478" s="38">
        <f>F479</f>
        <v>726880</v>
      </c>
      <c r="G478" s="66"/>
      <c r="I478" s="65"/>
      <c r="J478" s="66"/>
      <c r="L478" s="69"/>
      <c r="M478" s="69"/>
    </row>
    <row r="479" spans="1:13" s="67" customFormat="1" ht="31.5" outlineLevel="6">
      <c r="A479" s="36" t="s">
        <v>689</v>
      </c>
      <c r="B479" s="37" t="s">
        <v>159</v>
      </c>
      <c r="C479" s="37" t="s">
        <v>2</v>
      </c>
      <c r="D479" s="37" t="s">
        <v>900</v>
      </c>
      <c r="E479" s="37" t="s">
        <v>17</v>
      </c>
      <c r="F479" s="38">
        <f>'Приложение_7 '!G485</f>
        <v>726880</v>
      </c>
      <c r="G479" s="66"/>
      <c r="I479" s="65"/>
      <c r="J479" s="66"/>
      <c r="L479" s="69"/>
      <c r="M479" s="69"/>
    </row>
    <row r="480" spans="1:13" s="68" customFormat="1" ht="29.25" customHeight="1" outlineLevel="1">
      <c r="A480" s="42" t="s">
        <v>673</v>
      </c>
      <c r="B480" s="43" t="s">
        <v>159</v>
      </c>
      <c r="C480" s="43" t="s">
        <v>5</v>
      </c>
      <c r="D480" s="43" t="s">
        <v>4</v>
      </c>
      <c r="E480" s="43" t="s">
        <v>1</v>
      </c>
      <c r="F480" s="12">
        <f>F481</f>
        <v>58668214.95</v>
      </c>
      <c r="G480" s="1"/>
      <c r="I480" s="12">
        <v>17618181.53</v>
      </c>
      <c r="J480" s="1"/>
      <c r="L480" s="69">
        <f t="shared" si="14"/>
        <v>41050033.42</v>
      </c>
      <c r="M480" s="69">
        <f t="shared" si="15"/>
        <v>0</v>
      </c>
    </row>
    <row r="481" spans="1:13" ht="63" outlineLevel="2">
      <c r="A481" s="42" t="s">
        <v>656</v>
      </c>
      <c r="B481" s="43" t="s">
        <v>159</v>
      </c>
      <c r="C481" s="43" t="s">
        <v>5</v>
      </c>
      <c r="D481" s="43" t="s">
        <v>160</v>
      </c>
      <c r="E481" s="43" t="s">
        <v>1</v>
      </c>
      <c r="F481" s="12">
        <f>F482+F492</f>
        <v>58668214.95</v>
      </c>
      <c r="G481" s="1"/>
      <c r="I481" s="12">
        <v>17618181.53</v>
      </c>
      <c r="J481" s="1"/>
      <c r="L481" s="69">
        <f t="shared" si="14"/>
        <v>41050033.42</v>
      </c>
      <c r="M481" s="69">
        <f t="shared" si="15"/>
        <v>0</v>
      </c>
    </row>
    <row r="482" spans="1:13" ht="47.25" outlineLevel="3">
      <c r="A482" s="42" t="s">
        <v>633</v>
      </c>
      <c r="B482" s="43" t="s">
        <v>159</v>
      </c>
      <c r="C482" s="43" t="s">
        <v>5</v>
      </c>
      <c r="D482" s="43" t="s">
        <v>211</v>
      </c>
      <c r="E482" s="43" t="s">
        <v>1</v>
      </c>
      <c r="F482" s="12">
        <f>F483+F486+F489</f>
        <v>1869900</v>
      </c>
      <c r="G482" s="1"/>
      <c r="I482" s="12">
        <v>1626167.54</v>
      </c>
      <c r="J482" s="1"/>
      <c r="L482" s="69">
        <f t="shared" si="14"/>
        <v>243732.45999999996</v>
      </c>
      <c r="M482" s="69">
        <f t="shared" si="15"/>
        <v>0</v>
      </c>
    </row>
    <row r="483" spans="1:13" ht="15.75" outlineLevel="4">
      <c r="A483" s="19" t="s">
        <v>549</v>
      </c>
      <c r="B483" s="20" t="s">
        <v>159</v>
      </c>
      <c r="C483" s="20" t="s">
        <v>5</v>
      </c>
      <c r="D483" s="20" t="s">
        <v>212</v>
      </c>
      <c r="E483" s="20" t="s">
        <v>1</v>
      </c>
      <c r="F483" s="13">
        <f>F484</f>
        <v>490000</v>
      </c>
      <c r="G483" s="2"/>
      <c r="I483" s="13">
        <v>565337.64</v>
      </c>
      <c r="J483" s="2"/>
      <c r="L483" s="69">
        <f t="shared" si="14"/>
        <v>-75337.64000000001</v>
      </c>
      <c r="M483" s="69">
        <f t="shared" si="15"/>
        <v>0</v>
      </c>
    </row>
    <row r="484" spans="1:13" ht="31.5" outlineLevel="5">
      <c r="A484" s="19" t="s">
        <v>460</v>
      </c>
      <c r="B484" s="20" t="s">
        <v>159</v>
      </c>
      <c r="C484" s="20" t="s">
        <v>5</v>
      </c>
      <c r="D484" s="20" t="s">
        <v>213</v>
      </c>
      <c r="E484" s="20" t="s">
        <v>1</v>
      </c>
      <c r="F484" s="13">
        <f>F485</f>
        <v>490000</v>
      </c>
      <c r="G484" s="2"/>
      <c r="I484" s="13">
        <v>565337.64</v>
      </c>
      <c r="J484" s="2"/>
      <c r="L484" s="69">
        <f t="shared" si="14"/>
        <v>-75337.64000000001</v>
      </c>
      <c r="M484" s="69">
        <f t="shared" si="15"/>
        <v>0</v>
      </c>
    </row>
    <row r="485" spans="1:13" ht="31.5" outlineLevel="6">
      <c r="A485" s="19" t="s">
        <v>689</v>
      </c>
      <c r="B485" s="20" t="s">
        <v>159</v>
      </c>
      <c r="C485" s="20" t="s">
        <v>5</v>
      </c>
      <c r="D485" s="20" t="s">
        <v>213</v>
      </c>
      <c r="E485" s="20" t="s">
        <v>17</v>
      </c>
      <c r="F485" s="13">
        <f>'Приложение_7 '!G491</f>
        <v>490000</v>
      </c>
      <c r="G485" s="2"/>
      <c r="I485" s="13">
        <v>565337.64</v>
      </c>
      <c r="J485" s="2"/>
      <c r="L485" s="69">
        <f t="shared" si="14"/>
        <v>-75337.64000000001</v>
      </c>
      <c r="M485" s="69">
        <f t="shared" si="15"/>
        <v>0</v>
      </c>
    </row>
    <row r="486" spans="1:13" ht="15.75" outlineLevel="4">
      <c r="A486" s="19" t="s">
        <v>550</v>
      </c>
      <c r="B486" s="20" t="s">
        <v>159</v>
      </c>
      <c r="C486" s="20" t="s">
        <v>5</v>
      </c>
      <c r="D486" s="20" t="s">
        <v>214</v>
      </c>
      <c r="E486" s="20" t="s">
        <v>1</v>
      </c>
      <c r="F486" s="13">
        <f>F487</f>
        <v>979999.9999999999</v>
      </c>
      <c r="G486" s="2"/>
      <c r="I486" s="13">
        <v>1060829.9</v>
      </c>
      <c r="J486" s="2"/>
      <c r="L486" s="69">
        <f t="shared" si="14"/>
        <v>-80829.90000000002</v>
      </c>
      <c r="M486" s="69">
        <f t="shared" si="15"/>
        <v>0</v>
      </c>
    </row>
    <row r="487" spans="1:13" ht="31.5" outlineLevel="5">
      <c r="A487" s="19" t="s">
        <v>460</v>
      </c>
      <c r="B487" s="20" t="s">
        <v>159</v>
      </c>
      <c r="C487" s="20" t="s">
        <v>5</v>
      </c>
      <c r="D487" s="20" t="s">
        <v>215</v>
      </c>
      <c r="E487" s="20" t="s">
        <v>1</v>
      </c>
      <c r="F487" s="13">
        <f>F488</f>
        <v>979999.9999999999</v>
      </c>
      <c r="G487" s="2"/>
      <c r="I487" s="13">
        <v>1060829.9</v>
      </c>
      <c r="J487" s="2"/>
      <c r="L487" s="69">
        <f t="shared" si="14"/>
        <v>-80829.90000000002</v>
      </c>
      <c r="M487" s="69">
        <f t="shared" si="15"/>
        <v>0</v>
      </c>
    </row>
    <row r="488" spans="1:13" ht="31.5" outlineLevel="6">
      <c r="A488" s="19" t="s">
        <v>689</v>
      </c>
      <c r="B488" s="20" t="s">
        <v>159</v>
      </c>
      <c r="C488" s="20" t="s">
        <v>5</v>
      </c>
      <c r="D488" s="20" t="s">
        <v>215</v>
      </c>
      <c r="E488" s="20" t="s">
        <v>17</v>
      </c>
      <c r="F488" s="13">
        <f>'Приложение_7 '!G494</f>
        <v>979999.9999999999</v>
      </c>
      <c r="G488" s="2"/>
      <c r="I488" s="13">
        <v>1060829.9</v>
      </c>
      <c r="J488" s="2"/>
      <c r="L488" s="69">
        <f t="shared" si="14"/>
        <v>-80829.90000000002</v>
      </c>
      <c r="M488" s="69">
        <f t="shared" si="15"/>
        <v>0</v>
      </c>
    </row>
    <row r="489" spans="1:13" ht="47.25" outlineLevel="6">
      <c r="A489" s="36" t="s">
        <v>885</v>
      </c>
      <c r="B489" s="37" t="s">
        <v>159</v>
      </c>
      <c r="C489" s="37" t="s">
        <v>5</v>
      </c>
      <c r="D489" s="37" t="s">
        <v>886</v>
      </c>
      <c r="E489" s="37" t="s">
        <v>1</v>
      </c>
      <c r="F489" s="13">
        <f>F490</f>
        <v>399900</v>
      </c>
      <c r="G489" s="2"/>
      <c r="I489" s="13"/>
      <c r="J489" s="2"/>
      <c r="L489" s="69"/>
      <c r="M489" s="69"/>
    </row>
    <row r="490" spans="1:13" ht="31.5" outlineLevel="6">
      <c r="A490" s="36" t="s">
        <v>441</v>
      </c>
      <c r="B490" s="37" t="s">
        <v>159</v>
      </c>
      <c r="C490" s="37" t="s">
        <v>5</v>
      </c>
      <c r="D490" s="37" t="s">
        <v>887</v>
      </c>
      <c r="E490" s="37" t="s">
        <v>1</v>
      </c>
      <c r="F490" s="13">
        <f>F491</f>
        <v>399900</v>
      </c>
      <c r="G490" s="2"/>
      <c r="I490" s="13"/>
      <c r="J490" s="2"/>
      <c r="L490" s="69"/>
      <c r="M490" s="69"/>
    </row>
    <row r="491" spans="1:13" ht="31.5" outlineLevel="6">
      <c r="A491" s="36" t="s">
        <v>689</v>
      </c>
      <c r="B491" s="37" t="s">
        <v>159</v>
      </c>
      <c r="C491" s="37" t="s">
        <v>5</v>
      </c>
      <c r="D491" s="37" t="s">
        <v>887</v>
      </c>
      <c r="E491" s="37" t="s">
        <v>17</v>
      </c>
      <c r="F491" s="13">
        <f>'Приложение_7 '!G497</f>
        <v>399900</v>
      </c>
      <c r="G491" s="2"/>
      <c r="I491" s="13"/>
      <c r="J491" s="2"/>
      <c r="L491" s="69"/>
      <c r="M491" s="69"/>
    </row>
    <row r="492" spans="1:13" ht="47.25" outlineLevel="3">
      <c r="A492" s="42" t="s">
        <v>634</v>
      </c>
      <c r="B492" s="43" t="s">
        <v>159</v>
      </c>
      <c r="C492" s="43" t="s">
        <v>5</v>
      </c>
      <c r="D492" s="43" t="s">
        <v>216</v>
      </c>
      <c r="E492" s="43" t="s">
        <v>1</v>
      </c>
      <c r="F492" s="12">
        <f>F493+F496+F499</f>
        <v>56798314.95</v>
      </c>
      <c r="G492" s="1"/>
      <c r="I492" s="12">
        <v>15992013.99</v>
      </c>
      <c r="J492" s="1"/>
      <c r="L492" s="69">
        <f t="shared" si="14"/>
        <v>40806300.96</v>
      </c>
      <c r="M492" s="69">
        <f t="shared" si="15"/>
        <v>0</v>
      </c>
    </row>
    <row r="493" spans="1:13" ht="63" hidden="1" outlineLevel="4">
      <c r="A493" s="19" t="s">
        <v>551</v>
      </c>
      <c r="B493" s="20" t="s">
        <v>159</v>
      </c>
      <c r="C493" s="20" t="s">
        <v>5</v>
      </c>
      <c r="D493" s="20" t="s">
        <v>217</v>
      </c>
      <c r="E493" s="20" t="s">
        <v>1</v>
      </c>
      <c r="F493" s="13">
        <f>F494</f>
        <v>0</v>
      </c>
      <c r="G493" s="2"/>
      <c r="I493" s="13">
        <v>13482633.29</v>
      </c>
      <c r="J493" s="2"/>
      <c r="L493" s="69">
        <f t="shared" si="14"/>
        <v>-13482633.29</v>
      </c>
      <c r="M493" s="69">
        <f t="shared" si="15"/>
        <v>0</v>
      </c>
    </row>
    <row r="494" spans="1:13" ht="31.5" hidden="1" outlineLevel="5">
      <c r="A494" s="19" t="s">
        <v>461</v>
      </c>
      <c r="B494" s="20" t="s">
        <v>159</v>
      </c>
      <c r="C494" s="20" t="s">
        <v>5</v>
      </c>
      <c r="D494" s="20" t="s">
        <v>218</v>
      </c>
      <c r="E494" s="20" t="s">
        <v>1</v>
      </c>
      <c r="F494" s="13">
        <f>F495</f>
        <v>0</v>
      </c>
      <c r="G494" s="2"/>
      <c r="I494" s="13">
        <v>13482633.29</v>
      </c>
      <c r="J494" s="2"/>
      <c r="L494" s="69">
        <f t="shared" si="14"/>
        <v>-13482633.29</v>
      </c>
      <c r="M494" s="69">
        <f t="shared" si="15"/>
        <v>0</v>
      </c>
    </row>
    <row r="495" spans="1:13" ht="15.75" hidden="1" outlineLevel="6">
      <c r="A495" s="19" t="s">
        <v>691</v>
      </c>
      <c r="B495" s="20" t="s">
        <v>159</v>
      </c>
      <c r="C495" s="20" t="s">
        <v>5</v>
      </c>
      <c r="D495" s="20" t="s">
        <v>218</v>
      </c>
      <c r="E495" s="20" t="s">
        <v>65</v>
      </c>
      <c r="F495" s="13">
        <f>'Приложение_7 '!G501</f>
        <v>0</v>
      </c>
      <c r="G495" s="1"/>
      <c r="I495" s="13">
        <v>13482633.29</v>
      </c>
      <c r="J495" s="1"/>
      <c r="L495" s="69">
        <f t="shared" si="14"/>
        <v>-13482633.29</v>
      </c>
      <c r="M495" s="69">
        <f t="shared" si="15"/>
        <v>0</v>
      </c>
    </row>
    <row r="496" spans="1:13" ht="47.25" outlineLevel="4" collapsed="1">
      <c r="A496" s="63" t="s">
        <v>552</v>
      </c>
      <c r="B496" s="64" t="s">
        <v>159</v>
      </c>
      <c r="C496" s="64" t="s">
        <v>5</v>
      </c>
      <c r="D496" s="64" t="s">
        <v>219</v>
      </c>
      <c r="E496" s="64" t="s">
        <v>1</v>
      </c>
      <c r="F496" s="65">
        <f>F497</f>
        <v>26728.0600000003</v>
      </c>
      <c r="G496" s="2"/>
      <c r="I496" s="13">
        <v>2509380.7</v>
      </c>
      <c r="J496" s="2"/>
      <c r="L496" s="69">
        <f t="shared" si="14"/>
        <v>-2482652.6399999997</v>
      </c>
      <c r="M496" s="69">
        <f t="shared" si="15"/>
        <v>0</v>
      </c>
    </row>
    <row r="497" spans="1:13" ht="31.5" outlineLevel="5">
      <c r="A497" s="63" t="s">
        <v>441</v>
      </c>
      <c r="B497" s="64" t="s">
        <v>159</v>
      </c>
      <c r="C497" s="64" t="s">
        <v>5</v>
      </c>
      <c r="D497" s="64" t="s">
        <v>220</v>
      </c>
      <c r="E497" s="64" t="s">
        <v>1</v>
      </c>
      <c r="F497" s="65">
        <f>F498</f>
        <v>26728.0600000003</v>
      </c>
      <c r="G497" s="2"/>
      <c r="I497" s="13">
        <v>2509380.7</v>
      </c>
      <c r="J497" s="2"/>
      <c r="L497" s="69">
        <f t="shared" si="14"/>
        <v>-2482652.6399999997</v>
      </c>
      <c r="M497" s="69">
        <f t="shared" si="15"/>
        <v>0</v>
      </c>
    </row>
    <row r="498" spans="1:13" ht="31.5" outlineLevel="6">
      <c r="A498" s="63" t="s">
        <v>689</v>
      </c>
      <c r="B498" s="64" t="s">
        <v>159</v>
      </c>
      <c r="C498" s="64" t="s">
        <v>5</v>
      </c>
      <c r="D498" s="64" t="s">
        <v>220</v>
      </c>
      <c r="E498" s="64" t="s">
        <v>17</v>
      </c>
      <c r="F498" s="65">
        <f>'Приложение_7 '!G504</f>
        <v>26728.0600000003</v>
      </c>
      <c r="G498" s="2"/>
      <c r="I498" s="13">
        <v>2509380.7</v>
      </c>
      <c r="J498" s="2"/>
      <c r="L498" s="69">
        <f t="shared" si="14"/>
        <v>-2482652.6399999997</v>
      </c>
      <c r="M498" s="69">
        <f t="shared" si="15"/>
        <v>0</v>
      </c>
    </row>
    <row r="499" spans="1:13" ht="31.5" outlineLevel="6">
      <c r="A499" s="103" t="s">
        <v>925</v>
      </c>
      <c r="B499" s="104" t="s">
        <v>159</v>
      </c>
      <c r="C499" s="104" t="s">
        <v>5</v>
      </c>
      <c r="D499" s="104" t="s">
        <v>926</v>
      </c>
      <c r="E499" s="104" t="s">
        <v>1</v>
      </c>
      <c r="F499" s="65">
        <f>F500</f>
        <v>56771586.89</v>
      </c>
      <c r="G499" s="2"/>
      <c r="I499" s="13"/>
      <c r="J499" s="2"/>
      <c r="L499" s="69"/>
      <c r="M499" s="69"/>
    </row>
    <row r="500" spans="1:13" ht="31.5" outlineLevel="6">
      <c r="A500" s="103" t="s">
        <v>441</v>
      </c>
      <c r="B500" s="104" t="s">
        <v>159</v>
      </c>
      <c r="C500" s="104" t="s">
        <v>5</v>
      </c>
      <c r="D500" s="104" t="s">
        <v>927</v>
      </c>
      <c r="E500" s="104" t="s">
        <v>1</v>
      </c>
      <c r="F500" s="65">
        <f>F501</f>
        <v>56771586.89</v>
      </c>
      <c r="G500" s="2"/>
      <c r="I500" s="13"/>
      <c r="J500" s="2"/>
      <c r="L500" s="69"/>
      <c r="M500" s="69"/>
    </row>
    <row r="501" spans="1:13" ht="31.5" outlineLevel="6">
      <c r="A501" s="103" t="s">
        <v>689</v>
      </c>
      <c r="B501" s="104" t="s">
        <v>159</v>
      </c>
      <c r="C501" s="104" t="s">
        <v>5</v>
      </c>
      <c r="D501" s="104" t="s">
        <v>927</v>
      </c>
      <c r="E501" s="104" t="s">
        <v>17</v>
      </c>
      <c r="F501" s="65">
        <f>'Приложение_7 '!G505</f>
        <v>56771586.89</v>
      </c>
      <c r="G501" s="2"/>
      <c r="I501" s="13"/>
      <c r="J501" s="2"/>
      <c r="L501" s="69"/>
      <c r="M501" s="69"/>
    </row>
    <row r="502" spans="1:13" s="68" customFormat="1" ht="29.25" customHeight="1" outlineLevel="1">
      <c r="A502" s="42" t="s">
        <v>674</v>
      </c>
      <c r="B502" s="43" t="s">
        <v>159</v>
      </c>
      <c r="C502" s="43" t="s">
        <v>14</v>
      </c>
      <c r="D502" s="43" t="s">
        <v>4</v>
      </c>
      <c r="E502" s="43" t="s">
        <v>1</v>
      </c>
      <c r="F502" s="12">
        <f>F503</f>
        <v>46433815.12</v>
      </c>
      <c r="G502" s="12">
        <f>G503</f>
        <v>9588870</v>
      </c>
      <c r="I502" s="12">
        <v>53540930.92</v>
      </c>
      <c r="J502" s="1"/>
      <c r="L502" s="69">
        <f t="shared" si="14"/>
        <v>-7107115.8000000045</v>
      </c>
      <c r="M502" s="69">
        <f t="shared" si="15"/>
        <v>9588870</v>
      </c>
    </row>
    <row r="503" spans="1:13" ht="63" outlineLevel="2">
      <c r="A503" s="42" t="s">
        <v>656</v>
      </c>
      <c r="B503" s="43" t="s">
        <v>159</v>
      </c>
      <c r="C503" s="43" t="s">
        <v>14</v>
      </c>
      <c r="D503" s="43" t="s">
        <v>160</v>
      </c>
      <c r="E503" s="43" t="s">
        <v>1</v>
      </c>
      <c r="F503" s="12">
        <f>F504</f>
        <v>46433815.12</v>
      </c>
      <c r="G503" s="12">
        <f>G504</f>
        <v>9588870</v>
      </c>
      <c r="I503" s="12">
        <v>53540930.92</v>
      </c>
      <c r="J503" s="1"/>
      <c r="L503" s="69">
        <f t="shared" si="14"/>
        <v>-7107115.8000000045</v>
      </c>
      <c r="M503" s="69">
        <f t="shared" si="15"/>
        <v>9588870</v>
      </c>
    </row>
    <row r="504" spans="1:13" ht="47.25" outlineLevel="3">
      <c r="A504" s="42" t="s">
        <v>626</v>
      </c>
      <c r="B504" s="43" t="s">
        <v>159</v>
      </c>
      <c r="C504" s="43" t="s">
        <v>14</v>
      </c>
      <c r="D504" s="43" t="s">
        <v>161</v>
      </c>
      <c r="E504" s="43" t="s">
        <v>1</v>
      </c>
      <c r="F504" s="12">
        <f>F505+F508+F511+F516+F530+F533+F521+F538</f>
        <v>46433815.12</v>
      </c>
      <c r="G504" s="12">
        <f>G505+G508+G511+G516+G530+G533+G521+G538</f>
        <v>9588870</v>
      </c>
      <c r="I504" s="12">
        <v>53540930.92</v>
      </c>
      <c r="J504" s="1"/>
      <c r="L504" s="69">
        <f t="shared" si="14"/>
        <v>-7107115.8000000045</v>
      </c>
      <c r="M504" s="69">
        <f t="shared" si="15"/>
        <v>9588870</v>
      </c>
    </row>
    <row r="505" spans="1:13" ht="31.5" outlineLevel="4">
      <c r="A505" s="19" t="s">
        <v>553</v>
      </c>
      <c r="B505" s="20" t="s">
        <v>159</v>
      </c>
      <c r="C505" s="20" t="s">
        <v>14</v>
      </c>
      <c r="D505" s="20" t="s">
        <v>221</v>
      </c>
      <c r="E505" s="20" t="s">
        <v>1</v>
      </c>
      <c r="F505" s="13">
        <f>F506</f>
        <v>15425832.75</v>
      </c>
      <c r="G505" s="2"/>
      <c r="I505" s="13">
        <v>15953571.42</v>
      </c>
      <c r="J505" s="2"/>
      <c r="L505" s="69">
        <f t="shared" si="14"/>
        <v>-527738.6699999999</v>
      </c>
      <c r="M505" s="69">
        <f t="shared" si="15"/>
        <v>0</v>
      </c>
    </row>
    <row r="506" spans="1:13" ht="31.5" outlineLevel="5">
      <c r="A506" s="19" t="s">
        <v>462</v>
      </c>
      <c r="B506" s="20" t="s">
        <v>159</v>
      </c>
      <c r="C506" s="20" t="s">
        <v>14</v>
      </c>
      <c r="D506" s="20" t="s">
        <v>222</v>
      </c>
      <c r="E506" s="20" t="s">
        <v>1</v>
      </c>
      <c r="F506" s="13">
        <f>F507</f>
        <v>15425832.75</v>
      </c>
      <c r="G506" s="2"/>
      <c r="I506" s="13">
        <v>15953571.42</v>
      </c>
      <c r="J506" s="2"/>
      <c r="L506" s="69">
        <f t="shared" si="14"/>
        <v>-527738.6699999999</v>
      </c>
      <c r="M506" s="69">
        <f t="shared" si="15"/>
        <v>0</v>
      </c>
    </row>
    <row r="507" spans="1:13" ht="31.5" outlineLevel="6">
      <c r="A507" s="19" t="s">
        <v>689</v>
      </c>
      <c r="B507" s="20" t="s">
        <v>159</v>
      </c>
      <c r="C507" s="20" t="s">
        <v>14</v>
      </c>
      <c r="D507" s="20" t="s">
        <v>222</v>
      </c>
      <c r="E507" s="20" t="s">
        <v>17</v>
      </c>
      <c r="F507" s="13">
        <f>'Приложение_7 '!G513</f>
        <v>15425832.75</v>
      </c>
      <c r="G507" s="2"/>
      <c r="I507" s="13">
        <v>15953571.42</v>
      </c>
      <c r="J507" s="2"/>
      <c r="L507" s="69">
        <f t="shared" si="14"/>
        <v>-527738.6699999999</v>
      </c>
      <c r="M507" s="69">
        <f t="shared" si="15"/>
        <v>0</v>
      </c>
    </row>
    <row r="508" spans="1:13" ht="63" outlineLevel="4">
      <c r="A508" s="19" t="s">
        <v>554</v>
      </c>
      <c r="B508" s="20" t="s">
        <v>159</v>
      </c>
      <c r="C508" s="20" t="s">
        <v>14</v>
      </c>
      <c r="D508" s="20" t="s">
        <v>223</v>
      </c>
      <c r="E508" s="20" t="s">
        <v>1</v>
      </c>
      <c r="F508" s="13">
        <f>F509</f>
        <v>10594692.879999999</v>
      </c>
      <c r="G508" s="2"/>
      <c r="I508" s="13">
        <v>13274260.85</v>
      </c>
      <c r="J508" s="2"/>
      <c r="L508" s="69">
        <f t="shared" si="14"/>
        <v>-2679567.9700000007</v>
      </c>
      <c r="M508" s="69">
        <f t="shared" si="15"/>
        <v>0</v>
      </c>
    </row>
    <row r="509" spans="1:13" ht="47.25" outlineLevel="5">
      <c r="A509" s="19" t="s">
        <v>463</v>
      </c>
      <c r="B509" s="20" t="s">
        <v>159</v>
      </c>
      <c r="C509" s="20" t="s">
        <v>14</v>
      </c>
      <c r="D509" s="20" t="s">
        <v>224</v>
      </c>
      <c r="E509" s="20" t="s">
        <v>1</v>
      </c>
      <c r="F509" s="13">
        <f>F510</f>
        <v>10594692.879999999</v>
      </c>
      <c r="G509" s="2"/>
      <c r="I509" s="13">
        <v>13274260.85</v>
      </c>
      <c r="J509" s="2"/>
      <c r="L509" s="69">
        <f t="shared" si="14"/>
        <v>-2679567.9700000007</v>
      </c>
      <c r="M509" s="69">
        <f t="shared" si="15"/>
        <v>0</v>
      </c>
    </row>
    <row r="510" spans="1:13" ht="31.5" outlineLevel="6">
      <c r="A510" s="19" t="s">
        <v>689</v>
      </c>
      <c r="B510" s="20" t="s">
        <v>159</v>
      </c>
      <c r="C510" s="20" t="s">
        <v>14</v>
      </c>
      <c r="D510" s="20" t="s">
        <v>224</v>
      </c>
      <c r="E510" s="20" t="s">
        <v>17</v>
      </c>
      <c r="F510" s="13">
        <f>'Приложение_7 '!G516</f>
        <v>10594692.879999999</v>
      </c>
      <c r="G510" s="2"/>
      <c r="I510" s="13">
        <v>13274260.85</v>
      </c>
      <c r="J510" s="2"/>
      <c r="L510" s="69">
        <f t="shared" si="14"/>
        <v>-2679567.9700000007</v>
      </c>
      <c r="M510" s="69">
        <f t="shared" si="15"/>
        <v>0</v>
      </c>
    </row>
    <row r="511" spans="1:13" ht="47.25" outlineLevel="4">
      <c r="A511" s="19" t="s">
        <v>555</v>
      </c>
      <c r="B511" s="20" t="s">
        <v>159</v>
      </c>
      <c r="C511" s="20" t="s">
        <v>14</v>
      </c>
      <c r="D511" s="20" t="s">
        <v>225</v>
      </c>
      <c r="E511" s="20" t="s">
        <v>1</v>
      </c>
      <c r="F511" s="13">
        <f>F512+F515</f>
        <v>1825978.28</v>
      </c>
      <c r="G511" s="2"/>
      <c r="I511" s="13">
        <v>403340.65</v>
      </c>
      <c r="J511" s="2"/>
      <c r="L511" s="69">
        <f t="shared" si="14"/>
        <v>1422637.63</v>
      </c>
      <c r="M511" s="69">
        <f t="shared" si="15"/>
        <v>0</v>
      </c>
    </row>
    <row r="512" spans="1:13" ht="31.5" outlineLevel="5">
      <c r="A512" s="19" t="s">
        <v>456</v>
      </c>
      <c r="B512" s="20" t="s">
        <v>159</v>
      </c>
      <c r="C512" s="20" t="s">
        <v>14</v>
      </c>
      <c r="D512" s="20" t="s">
        <v>226</v>
      </c>
      <c r="E512" s="20" t="s">
        <v>1</v>
      </c>
      <c r="F512" s="13">
        <f>F513</f>
        <v>1728197.8900000001</v>
      </c>
      <c r="G512" s="2"/>
      <c r="I512" s="13">
        <v>403340.65</v>
      </c>
      <c r="J512" s="2"/>
      <c r="L512" s="69">
        <f t="shared" si="14"/>
        <v>1324857.2400000002</v>
      </c>
      <c r="M512" s="69">
        <f t="shared" si="15"/>
        <v>0</v>
      </c>
    </row>
    <row r="513" spans="1:13" ht="31.5" outlineLevel="6">
      <c r="A513" s="19" t="s">
        <v>689</v>
      </c>
      <c r="B513" s="20" t="s">
        <v>159</v>
      </c>
      <c r="C513" s="20" t="s">
        <v>14</v>
      </c>
      <c r="D513" s="20" t="s">
        <v>226</v>
      </c>
      <c r="E513" s="20" t="s">
        <v>17</v>
      </c>
      <c r="F513" s="13">
        <f>'Приложение_7 '!G519</f>
        <v>1728197.8900000001</v>
      </c>
      <c r="G513" s="2"/>
      <c r="I513" s="13">
        <v>403340.65</v>
      </c>
      <c r="J513" s="2"/>
      <c r="L513" s="69">
        <f t="shared" si="14"/>
        <v>1324857.2400000002</v>
      </c>
      <c r="M513" s="69">
        <f t="shared" si="15"/>
        <v>0</v>
      </c>
    </row>
    <row r="514" spans="1:13" ht="31.5" outlineLevel="6">
      <c r="A514" s="36" t="s">
        <v>441</v>
      </c>
      <c r="B514" s="37" t="s">
        <v>159</v>
      </c>
      <c r="C514" s="37" t="s">
        <v>14</v>
      </c>
      <c r="D514" s="37" t="s">
        <v>957</v>
      </c>
      <c r="E514" s="37" t="s">
        <v>1</v>
      </c>
      <c r="F514" s="13">
        <f>F515</f>
        <v>97780.39</v>
      </c>
      <c r="G514" s="2"/>
      <c r="I514" s="13"/>
      <c r="J514" s="2"/>
      <c r="L514" s="69"/>
      <c r="M514" s="69"/>
    </row>
    <row r="515" spans="1:13" ht="31.5" outlineLevel="6">
      <c r="A515" s="36" t="s">
        <v>689</v>
      </c>
      <c r="B515" s="37" t="s">
        <v>159</v>
      </c>
      <c r="C515" s="37" t="s">
        <v>14</v>
      </c>
      <c r="D515" s="37" t="s">
        <v>957</v>
      </c>
      <c r="E515" s="37" t="s">
        <v>17</v>
      </c>
      <c r="F515" s="13">
        <f>'Приложение_7 '!G521</f>
        <v>97780.39</v>
      </c>
      <c r="G515" s="2"/>
      <c r="I515" s="13"/>
      <c r="J515" s="2"/>
      <c r="L515" s="69"/>
      <c r="M515" s="69"/>
    </row>
    <row r="516" spans="1:13" ht="31.5" outlineLevel="4">
      <c r="A516" s="19" t="s">
        <v>556</v>
      </c>
      <c r="B516" s="20" t="s">
        <v>159</v>
      </c>
      <c r="C516" s="20" t="s">
        <v>14</v>
      </c>
      <c r="D516" s="20" t="s">
        <v>227</v>
      </c>
      <c r="E516" s="20" t="s">
        <v>1</v>
      </c>
      <c r="F516" s="13">
        <f>F517+F519</f>
        <v>604914.9400000002</v>
      </c>
      <c r="G516" s="2"/>
      <c r="I516" s="13">
        <v>18716382.43</v>
      </c>
      <c r="J516" s="2"/>
      <c r="L516" s="69">
        <f t="shared" si="14"/>
        <v>-18111467.49</v>
      </c>
      <c r="M516" s="69">
        <f t="shared" si="15"/>
        <v>0</v>
      </c>
    </row>
    <row r="517" spans="1:13" ht="31.5" outlineLevel="5">
      <c r="A517" s="19" t="s">
        <v>441</v>
      </c>
      <c r="B517" s="20" t="s">
        <v>159</v>
      </c>
      <c r="C517" s="20" t="s">
        <v>14</v>
      </c>
      <c r="D517" s="20" t="s">
        <v>228</v>
      </c>
      <c r="E517" s="20" t="s">
        <v>1</v>
      </c>
      <c r="F517" s="13">
        <f>F518</f>
        <v>604914.9400000002</v>
      </c>
      <c r="G517" s="1"/>
      <c r="I517" s="13">
        <v>936558.43</v>
      </c>
      <c r="J517" s="1"/>
      <c r="L517" s="69">
        <f t="shared" si="14"/>
        <v>-331643.4899999999</v>
      </c>
      <c r="M517" s="69">
        <f t="shared" si="15"/>
        <v>0</v>
      </c>
    </row>
    <row r="518" spans="1:13" ht="31.5" outlineLevel="6">
      <c r="A518" s="19" t="s">
        <v>689</v>
      </c>
      <c r="B518" s="20" t="s">
        <v>159</v>
      </c>
      <c r="C518" s="20" t="s">
        <v>14</v>
      </c>
      <c r="D518" s="20" t="s">
        <v>228</v>
      </c>
      <c r="E518" s="20" t="s">
        <v>17</v>
      </c>
      <c r="F518" s="13">
        <f>'Приложение_7 '!G524</f>
        <v>604914.9400000002</v>
      </c>
      <c r="G518" s="1"/>
      <c r="I518" s="13">
        <v>936558.43</v>
      </c>
      <c r="J518" s="1"/>
      <c r="L518" s="69">
        <f t="shared" si="14"/>
        <v>-331643.4899999999</v>
      </c>
      <c r="M518" s="69">
        <f t="shared" si="15"/>
        <v>0</v>
      </c>
    </row>
    <row r="519" spans="1:13" ht="47.25" hidden="1" outlineLevel="5">
      <c r="A519" s="19" t="s">
        <v>464</v>
      </c>
      <c r="B519" s="20" t="s">
        <v>159</v>
      </c>
      <c r="C519" s="20" t="s">
        <v>14</v>
      </c>
      <c r="D519" s="20" t="s">
        <v>229</v>
      </c>
      <c r="E519" s="20" t="s">
        <v>1</v>
      </c>
      <c r="F519" s="13">
        <f>F520</f>
        <v>0</v>
      </c>
      <c r="G519" s="2"/>
      <c r="I519" s="13">
        <v>17779824</v>
      </c>
      <c r="J519" s="2"/>
      <c r="L519" s="69">
        <f t="shared" si="14"/>
        <v>-17779824</v>
      </c>
      <c r="M519" s="69">
        <f t="shared" si="15"/>
        <v>0</v>
      </c>
    </row>
    <row r="520" spans="1:13" ht="31.5" hidden="1" outlineLevel="6">
      <c r="A520" s="19" t="s">
        <v>839</v>
      </c>
      <c r="B520" s="20" t="s">
        <v>159</v>
      </c>
      <c r="C520" s="20" t="s">
        <v>14</v>
      </c>
      <c r="D520" s="20" t="s">
        <v>229</v>
      </c>
      <c r="E520" s="20" t="s">
        <v>143</v>
      </c>
      <c r="F520" s="13">
        <f>'Приложение_7 '!G526</f>
        <v>0</v>
      </c>
      <c r="G520" s="2"/>
      <c r="I520" s="13">
        <v>17779824</v>
      </c>
      <c r="J520" s="2"/>
      <c r="L520" s="69">
        <f t="shared" si="14"/>
        <v>-17779824</v>
      </c>
      <c r="M520" s="69">
        <f t="shared" si="15"/>
        <v>0</v>
      </c>
    </row>
    <row r="521" spans="1:13" ht="31.5" outlineLevel="6">
      <c r="A521" s="36" t="s">
        <v>901</v>
      </c>
      <c r="B521" s="37" t="s">
        <v>159</v>
      </c>
      <c r="C521" s="37" t="s">
        <v>14</v>
      </c>
      <c r="D521" s="37" t="s">
        <v>902</v>
      </c>
      <c r="E521" s="37" t="s">
        <v>1</v>
      </c>
      <c r="F521" s="38">
        <f>F522+F524+F528+F526</f>
        <v>12034805.69</v>
      </c>
      <c r="G521" s="38">
        <f>G522+G524+G528</f>
        <v>9588870</v>
      </c>
      <c r="I521" s="13"/>
      <c r="J521" s="2"/>
      <c r="L521" s="69"/>
      <c r="M521" s="69"/>
    </row>
    <row r="522" spans="1:13" ht="31.5" outlineLevel="6">
      <c r="A522" s="36" t="s">
        <v>456</v>
      </c>
      <c r="B522" s="37" t="s">
        <v>159</v>
      </c>
      <c r="C522" s="37" t="s">
        <v>14</v>
      </c>
      <c r="D522" s="37" t="s">
        <v>903</v>
      </c>
      <c r="E522" s="37" t="s">
        <v>1</v>
      </c>
      <c r="F522" s="38">
        <f>F523</f>
        <v>510635.69</v>
      </c>
      <c r="G522" s="2"/>
      <c r="I522" s="13"/>
      <c r="J522" s="2"/>
      <c r="L522" s="69"/>
      <c r="M522" s="69"/>
    </row>
    <row r="523" spans="1:13" ht="31.5" outlineLevel="6">
      <c r="A523" s="36" t="s">
        <v>689</v>
      </c>
      <c r="B523" s="37" t="s">
        <v>159</v>
      </c>
      <c r="C523" s="37" t="s">
        <v>14</v>
      </c>
      <c r="D523" s="37" t="s">
        <v>903</v>
      </c>
      <c r="E523" s="37" t="s">
        <v>17</v>
      </c>
      <c r="F523" s="38">
        <f>'Приложение_7 '!G529</f>
        <v>510635.69</v>
      </c>
      <c r="G523" s="2"/>
      <c r="I523" s="13"/>
      <c r="J523" s="2"/>
      <c r="L523" s="69"/>
      <c r="M523" s="69"/>
    </row>
    <row r="524" spans="1:13" ht="31.5" outlineLevel="6">
      <c r="A524" s="36" t="s">
        <v>441</v>
      </c>
      <c r="B524" s="37" t="s">
        <v>159</v>
      </c>
      <c r="C524" s="37" t="s">
        <v>14</v>
      </c>
      <c r="D524" s="37" t="s">
        <v>904</v>
      </c>
      <c r="E524" s="37" t="s">
        <v>1</v>
      </c>
      <c r="F524" s="38">
        <f>F525</f>
        <v>635300</v>
      </c>
      <c r="G524" s="2"/>
      <c r="I524" s="13"/>
      <c r="J524" s="2"/>
      <c r="L524" s="69"/>
      <c r="M524" s="69"/>
    </row>
    <row r="525" spans="1:13" ht="31.5" outlineLevel="6">
      <c r="A525" s="36" t="s">
        <v>689</v>
      </c>
      <c r="B525" s="37" t="s">
        <v>159</v>
      </c>
      <c r="C525" s="37" t="s">
        <v>14</v>
      </c>
      <c r="D525" s="37" t="s">
        <v>904</v>
      </c>
      <c r="E525" s="37" t="s">
        <v>17</v>
      </c>
      <c r="F525" s="38">
        <f>'Приложение_7 '!G531</f>
        <v>635300</v>
      </c>
      <c r="G525" s="2"/>
      <c r="I525" s="13"/>
      <c r="J525" s="2"/>
      <c r="L525" s="69"/>
      <c r="M525" s="69"/>
    </row>
    <row r="526" spans="1:13" ht="31.5" outlineLevel="6">
      <c r="A526" s="36" t="s">
        <v>914</v>
      </c>
      <c r="B526" s="37" t="s">
        <v>159</v>
      </c>
      <c r="C526" s="37" t="s">
        <v>14</v>
      </c>
      <c r="D526" s="37" t="s">
        <v>928</v>
      </c>
      <c r="E526" s="37" t="s">
        <v>1</v>
      </c>
      <c r="F526" s="38">
        <f>F527</f>
        <v>1300000</v>
      </c>
      <c r="G526" s="2"/>
      <c r="I526" s="13"/>
      <c r="J526" s="2"/>
      <c r="L526" s="69"/>
      <c r="M526" s="69"/>
    </row>
    <row r="527" spans="1:13" ht="31.5" outlineLevel="6">
      <c r="A527" s="36" t="s">
        <v>689</v>
      </c>
      <c r="B527" s="37" t="s">
        <v>159</v>
      </c>
      <c r="C527" s="37" t="s">
        <v>14</v>
      </c>
      <c r="D527" s="37" t="s">
        <v>928</v>
      </c>
      <c r="E527" s="37" t="s">
        <v>17</v>
      </c>
      <c r="F527" s="38">
        <f>'Приложение_7 '!G533</f>
        <v>1300000</v>
      </c>
      <c r="G527" s="2"/>
      <c r="I527" s="13"/>
      <c r="J527" s="2"/>
      <c r="L527" s="69"/>
      <c r="M527" s="69"/>
    </row>
    <row r="528" spans="1:13" ht="31.5" outlineLevel="6">
      <c r="A528" s="36" t="s">
        <v>914</v>
      </c>
      <c r="B528" s="37" t="s">
        <v>159</v>
      </c>
      <c r="C528" s="37" t="s">
        <v>14</v>
      </c>
      <c r="D528" s="37" t="s">
        <v>915</v>
      </c>
      <c r="E528" s="37" t="s">
        <v>1</v>
      </c>
      <c r="F528" s="13">
        <f>F529</f>
        <v>9588870</v>
      </c>
      <c r="G528" s="2">
        <f>G529</f>
        <v>9588870</v>
      </c>
      <c r="I528" s="13"/>
      <c r="J528" s="2"/>
      <c r="L528" s="69"/>
      <c r="M528" s="69"/>
    </row>
    <row r="529" spans="1:13" ht="31.5" outlineLevel="6">
      <c r="A529" s="36" t="s">
        <v>689</v>
      </c>
      <c r="B529" s="37" t="s">
        <v>159</v>
      </c>
      <c r="C529" s="37" t="s">
        <v>14</v>
      </c>
      <c r="D529" s="37" t="s">
        <v>915</v>
      </c>
      <c r="E529" s="37" t="s">
        <v>17</v>
      </c>
      <c r="F529" s="13">
        <f>'Приложение_7 '!G535</f>
        <v>9588870</v>
      </c>
      <c r="G529" s="2">
        <f>F529</f>
        <v>9588870</v>
      </c>
      <c r="I529" s="13"/>
      <c r="J529" s="2"/>
      <c r="L529" s="69"/>
      <c r="M529" s="69"/>
    </row>
    <row r="530" spans="1:13" ht="31.5" outlineLevel="4">
      <c r="A530" s="19" t="s">
        <v>557</v>
      </c>
      <c r="B530" s="20" t="s">
        <v>159</v>
      </c>
      <c r="C530" s="20" t="s">
        <v>14</v>
      </c>
      <c r="D530" s="20" t="s">
        <v>230</v>
      </c>
      <c r="E530" s="20" t="s">
        <v>1</v>
      </c>
      <c r="F530" s="13">
        <f>F531</f>
        <v>3663773.16</v>
      </c>
      <c r="G530" s="2"/>
      <c r="I530" s="13">
        <v>4002811.57</v>
      </c>
      <c r="J530" s="2"/>
      <c r="L530" s="69">
        <f t="shared" si="14"/>
        <v>-339038.4099999997</v>
      </c>
      <c r="M530" s="69">
        <f t="shared" si="15"/>
        <v>0</v>
      </c>
    </row>
    <row r="531" spans="1:13" ht="31.5" outlineLevel="5">
      <c r="A531" s="19" t="s">
        <v>441</v>
      </c>
      <c r="B531" s="20" t="s">
        <v>159</v>
      </c>
      <c r="C531" s="20" t="s">
        <v>14</v>
      </c>
      <c r="D531" s="20" t="s">
        <v>231</v>
      </c>
      <c r="E531" s="20" t="s">
        <v>1</v>
      </c>
      <c r="F531" s="13">
        <f>F532</f>
        <v>3663773.16</v>
      </c>
      <c r="G531" s="2"/>
      <c r="I531" s="13">
        <v>4002811.57</v>
      </c>
      <c r="J531" s="2"/>
      <c r="L531" s="69">
        <f t="shared" si="14"/>
        <v>-339038.4099999997</v>
      </c>
      <c r="M531" s="69">
        <f t="shared" si="15"/>
        <v>0</v>
      </c>
    </row>
    <row r="532" spans="1:13" ht="31.5" outlineLevel="6">
      <c r="A532" s="19" t="s">
        <v>689</v>
      </c>
      <c r="B532" s="20" t="s">
        <v>159</v>
      </c>
      <c r="C532" s="20" t="s">
        <v>14</v>
      </c>
      <c r="D532" s="20" t="s">
        <v>231</v>
      </c>
      <c r="E532" s="20" t="s">
        <v>17</v>
      </c>
      <c r="F532" s="13">
        <f>'Приложение_7 '!G538</f>
        <v>3663773.16</v>
      </c>
      <c r="G532" s="2"/>
      <c r="I532" s="13">
        <v>4002811.57</v>
      </c>
      <c r="J532" s="2"/>
      <c r="L532" s="69">
        <f t="shared" si="14"/>
        <v>-339038.4099999997</v>
      </c>
      <c r="M532" s="69">
        <f t="shared" si="15"/>
        <v>0</v>
      </c>
    </row>
    <row r="533" spans="1:13" ht="47.25" outlineLevel="4">
      <c r="A533" s="19" t="s">
        <v>558</v>
      </c>
      <c r="B533" s="20" t="s">
        <v>159</v>
      </c>
      <c r="C533" s="20" t="s">
        <v>14</v>
      </c>
      <c r="D533" s="20" t="s">
        <v>232</v>
      </c>
      <c r="E533" s="20" t="s">
        <v>1</v>
      </c>
      <c r="F533" s="13">
        <f>F534</f>
        <v>1561835.59</v>
      </c>
      <c r="G533" s="2"/>
      <c r="I533" s="13">
        <v>1190564</v>
      </c>
      <c r="J533" s="2"/>
      <c r="L533" s="69">
        <f t="shared" si="14"/>
        <v>371271.5900000001</v>
      </c>
      <c r="M533" s="69">
        <f t="shared" si="15"/>
        <v>0</v>
      </c>
    </row>
    <row r="534" spans="1:13" ht="31.5" outlineLevel="5">
      <c r="A534" s="19" t="s">
        <v>441</v>
      </c>
      <c r="B534" s="20" t="s">
        <v>159</v>
      </c>
      <c r="C534" s="20" t="s">
        <v>14</v>
      </c>
      <c r="D534" s="20" t="s">
        <v>233</v>
      </c>
      <c r="E534" s="20" t="s">
        <v>1</v>
      </c>
      <c r="F534" s="13">
        <f>F535</f>
        <v>1561835.59</v>
      </c>
      <c r="G534" s="2"/>
      <c r="I534" s="13">
        <v>1190564</v>
      </c>
      <c r="J534" s="2"/>
      <c r="L534" s="69">
        <f t="shared" si="14"/>
        <v>371271.5900000001</v>
      </c>
      <c r="M534" s="69">
        <f t="shared" si="15"/>
        <v>0</v>
      </c>
    </row>
    <row r="535" spans="1:13" ht="31.5" outlineLevel="6">
      <c r="A535" s="19" t="s">
        <v>689</v>
      </c>
      <c r="B535" s="20" t="s">
        <v>159</v>
      </c>
      <c r="C535" s="20" t="s">
        <v>14</v>
      </c>
      <c r="D535" s="20" t="s">
        <v>233</v>
      </c>
      <c r="E535" s="20" t="s">
        <v>17</v>
      </c>
      <c r="F535" s="13">
        <f>'Приложение_7 '!G541</f>
        <v>1561835.59</v>
      </c>
      <c r="G535" s="2"/>
      <c r="I535" s="13">
        <v>1190564</v>
      </c>
      <c r="J535" s="2"/>
      <c r="L535" s="69">
        <f t="shared" si="14"/>
        <v>371271.5900000001</v>
      </c>
      <c r="M535" s="69">
        <f t="shared" si="15"/>
        <v>0</v>
      </c>
    </row>
    <row r="536" spans="1:13" ht="31.5" outlineLevel="6">
      <c r="A536" s="36" t="s">
        <v>905</v>
      </c>
      <c r="B536" s="37" t="s">
        <v>159</v>
      </c>
      <c r="C536" s="37" t="s">
        <v>14</v>
      </c>
      <c r="D536" s="37" t="s">
        <v>906</v>
      </c>
      <c r="E536" s="37" t="s">
        <v>1</v>
      </c>
      <c r="F536" s="13">
        <f>F537</f>
        <v>721981.83</v>
      </c>
      <c r="G536" s="2"/>
      <c r="I536" s="13"/>
      <c r="J536" s="2"/>
      <c r="L536" s="69"/>
      <c r="M536" s="69"/>
    </row>
    <row r="537" spans="1:13" ht="31.5" outlineLevel="6">
      <c r="A537" s="36" t="s">
        <v>441</v>
      </c>
      <c r="B537" s="37" t="s">
        <v>159</v>
      </c>
      <c r="C537" s="37" t="s">
        <v>14</v>
      </c>
      <c r="D537" s="37" t="s">
        <v>907</v>
      </c>
      <c r="E537" s="37" t="s">
        <v>1</v>
      </c>
      <c r="F537" s="13">
        <f>F538</f>
        <v>721981.83</v>
      </c>
      <c r="G537" s="2"/>
      <c r="I537" s="13"/>
      <c r="J537" s="2"/>
      <c r="L537" s="69"/>
      <c r="M537" s="69"/>
    </row>
    <row r="538" spans="1:13" ht="31.5" outlineLevel="6">
      <c r="A538" s="36" t="s">
        <v>689</v>
      </c>
      <c r="B538" s="37" t="s">
        <v>159</v>
      </c>
      <c r="C538" s="37" t="s">
        <v>14</v>
      </c>
      <c r="D538" s="37" t="s">
        <v>907</v>
      </c>
      <c r="E538" s="37" t="s">
        <v>17</v>
      </c>
      <c r="F538" s="13">
        <f>'Приложение_7 '!G544</f>
        <v>721981.83</v>
      </c>
      <c r="G538" s="2"/>
      <c r="I538" s="13"/>
      <c r="J538" s="2"/>
      <c r="L538" s="69"/>
      <c r="M538" s="69"/>
    </row>
    <row r="539" spans="1:13" s="68" customFormat="1" ht="31.5" outlineLevel="1">
      <c r="A539" s="42" t="s">
        <v>675</v>
      </c>
      <c r="B539" s="43" t="s">
        <v>159</v>
      </c>
      <c r="C539" s="43" t="s">
        <v>159</v>
      </c>
      <c r="D539" s="43" t="s">
        <v>4</v>
      </c>
      <c r="E539" s="43" t="s">
        <v>1</v>
      </c>
      <c r="F539" s="12">
        <f>F540+F550+F555</f>
        <v>2076056.3</v>
      </c>
      <c r="G539" s="1"/>
      <c r="I539" s="12">
        <v>3582699.61</v>
      </c>
      <c r="J539" s="1"/>
      <c r="L539" s="69">
        <f t="shared" si="14"/>
        <v>-1506643.3099999998</v>
      </c>
      <c r="M539" s="69">
        <f t="shared" si="15"/>
        <v>0</v>
      </c>
    </row>
    <row r="540" spans="1:13" ht="63" outlineLevel="2">
      <c r="A540" s="42" t="s">
        <v>656</v>
      </c>
      <c r="B540" s="43" t="s">
        <v>159</v>
      </c>
      <c r="C540" s="43" t="s">
        <v>159</v>
      </c>
      <c r="D540" s="43" t="s">
        <v>160</v>
      </c>
      <c r="E540" s="43" t="s">
        <v>1</v>
      </c>
      <c r="F540" s="12">
        <f>F541</f>
        <v>1435663.78</v>
      </c>
      <c r="G540" s="1"/>
      <c r="I540" s="12">
        <v>1456483.09</v>
      </c>
      <c r="J540" s="1"/>
      <c r="L540" s="69">
        <f t="shared" si="14"/>
        <v>-20819.310000000056</v>
      </c>
      <c r="M540" s="69">
        <f t="shared" si="15"/>
        <v>0</v>
      </c>
    </row>
    <row r="541" spans="1:13" ht="47.25" outlineLevel="3">
      <c r="A541" s="42" t="s">
        <v>635</v>
      </c>
      <c r="B541" s="43" t="s">
        <v>159</v>
      </c>
      <c r="C541" s="43" t="s">
        <v>159</v>
      </c>
      <c r="D541" s="43" t="s">
        <v>234</v>
      </c>
      <c r="E541" s="43" t="s">
        <v>1</v>
      </c>
      <c r="F541" s="12">
        <f>F542</f>
        <v>1435663.78</v>
      </c>
      <c r="G541" s="1"/>
      <c r="I541" s="12">
        <v>1456483.09</v>
      </c>
      <c r="J541" s="1"/>
      <c r="L541" s="69">
        <f t="shared" si="14"/>
        <v>-20819.310000000056</v>
      </c>
      <c r="M541" s="69">
        <f t="shared" si="15"/>
        <v>0</v>
      </c>
    </row>
    <row r="542" spans="1:13" ht="31.5" outlineLevel="4">
      <c r="A542" s="19" t="s">
        <v>559</v>
      </c>
      <c r="B542" s="20" t="s">
        <v>159</v>
      </c>
      <c r="C542" s="20" t="s">
        <v>159</v>
      </c>
      <c r="D542" s="20" t="s">
        <v>235</v>
      </c>
      <c r="E542" s="20" t="s">
        <v>1</v>
      </c>
      <c r="F542" s="13">
        <f>F543+F548</f>
        <v>1435663.78</v>
      </c>
      <c r="G542" s="2"/>
      <c r="I542" s="13">
        <v>1456483.09</v>
      </c>
      <c r="J542" s="2"/>
      <c r="L542" s="69">
        <f t="shared" si="14"/>
        <v>-20819.310000000056</v>
      </c>
      <c r="M542" s="69">
        <f t="shared" si="15"/>
        <v>0</v>
      </c>
    </row>
    <row r="543" spans="1:13" ht="63" outlineLevel="5">
      <c r="A543" s="19" t="s">
        <v>443</v>
      </c>
      <c r="B543" s="20" t="s">
        <v>159</v>
      </c>
      <c r="C543" s="20" t="s">
        <v>159</v>
      </c>
      <c r="D543" s="20" t="s">
        <v>236</v>
      </c>
      <c r="E543" s="20" t="s">
        <v>1</v>
      </c>
      <c r="F543" s="13">
        <f>F544+F545+F546+F547</f>
        <v>1435663.78</v>
      </c>
      <c r="G543" s="2"/>
      <c r="I543" s="13">
        <v>1031204.53</v>
      </c>
      <c r="J543" s="2"/>
      <c r="L543" s="69">
        <f t="shared" si="14"/>
        <v>404459.25</v>
      </c>
      <c r="M543" s="69">
        <f t="shared" si="15"/>
        <v>0</v>
      </c>
    </row>
    <row r="544" spans="1:13" ht="78.75" outlineLevel="6">
      <c r="A544" s="19" t="s">
        <v>704</v>
      </c>
      <c r="B544" s="20" t="s">
        <v>159</v>
      </c>
      <c r="C544" s="20" t="s">
        <v>159</v>
      </c>
      <c r="D544" s="20" t="s">
        <v>236</v>
      </c>
      <c r="E544" s="20" t="s">
        <v>10</v>
      </c>
      <c r="F544" s="13">
        <f>'Приложение_7 '!G550</f>
        <v>1353509.81</v>
      </c>
      <c r="G544" s="2"/>
      <c r="I544" s="13">
        <v>1029104.53</v>
      </c>
      <c r="J544" s="2"/>
      <c r="L544" s="69">
        <f aca="true" t="shared" si="16" ref="L544:L632">F544-I544</f>
        <v>324405.28</v>
      </c>
      <c r="M544" s="69">
        <f aca="true" t="shared" si="17" ref="M544:M632">G544-J544</f>
        <v>0</v>
      </c>
    </row>
    <row r="545" spans="1:13" ht="31.5" outlineLevel="6">
      <c r="A545" s="19" t="s">
        <v>689</v>
      </c>
      <c r="B545" s="20" t="s">
        <v>159</v>
      </c>
      <c r="C545" s="20" t="s">
        <v>159</v>
      </c>
      <c r="D545" s="20" t="s">
        <v>236</v>
      </c>
      <c r="E545" s="20" t="s">
        <v>17</v>
      </c>
      <c r="F545" s="13">
        <f>'Приложение_7 '!G551</f>
        <v>3231.83</v>
      </c>
      <c r="G545" s="2"/>
      <c r="I545" s="13">
        <v>2100</v>
      </c>
      <c r="J545" s="2"/>
      <c r="L545" s="69">
        <f t="shared" si="16"/>
        <v>1131.83</v>
      </c>
      <c r="M545" s="69">
        <f t="shared" si="17"/>
        <v>0</v>
      </c>
    </row>
    <row r="546" spans="1:13" ht="31.5" outlineLevel="6">
      <c r="A546" s="36" t="s">
        <v>690</v>
      </c>
      <c r="B546" s="37" t="s">
        <v>159</v>
      </c>
      <c r="C546" s="37" t="s">
        <v>159</v>
      </c>
      <c r="D546" s="20" t="s">
        <v>236</v>
      </c>
      <c r="E546" s="37" t="s">
        <v>47</v>
      </c>
      <c r="F546" s="13">
        <f>'Приложение_7 '!G552</f>
        <v>78922.14</v>
      </c>
      <c r="G546" s="2"/>
      <c r="I546" s="13"/>
      <c r="J546" s="2"/>
      <c r="L546" s="69"/>
      <c r="M546" s="69"/>
    </row>
    <row r="547" spans="1:13" ht="15.75" hidden="1" outlineLevel="6">
      <c r="A547" s="36" t="s">
        <v>691</v>
      </c>
      <c r="B547" s="37" t="s">
        <v>159</v>
      </c>
      <c r="C547" s="37" t="s">
        <v>159</v>
      </c>
      <c r="D547" s="20" t="s">
        <v>236</v>
      </c>
      <c r="E547" s="37" t="s">
        <v>65</v>
      </c>
      <c r="F547" s="13">
        <f>'Приложение_7 '!G553</f>
        <v>0</v>
      </c>
      <c r="G547" s="2"/>
      <c r="I547" s="13"/>
      <c r="J547" s="2"/>
      <c r="L547" s="69"/>
      <c r="M547" s="69"/>
    </row>
    <row r="548" spans="1:13" ht="31.5" hidden="1" outlineLevel="5">
      <c r="A548" s="19" t="s">
        <v>441</v>
      </c>
      <c r="B548" s="20" t="s">
        <v>159</v>
      </c>
      <c r="C548" s="20" t="s">
        <v>159</v>
      </c>
      <c r="D548" s="20" t="s">
        <v>237</v>
      </c>
      <c r="E548" s="20" t="s">
        <v>1</v>
      </c>
      <c r="F548" s="13">
        <f>F549</f>
        <v>0</v>
      </c>
      <c r="G548" s="2"/>
      <c r="I548" s="13">
        <v>425278.56</v>
      </c>
      <c r="J548" s="2"/>
      <c r="L548" s="69">
        <f t="shared" si="16"/>
        <v>-425278.56</v>
      </c>
      <c r="M548" s="69">
        <f t="shared" si="17"/>
        <v>0</v>
      </c>
    </row>
    <row r="549" spans="1:13" ht="31.5" hidden="1" outlineLevel="6">
      <c r="A549" s="19" t="s">
        <v>689</v>
      </c>
      <c r="B549" s="20" t="s">
        <v>159</v>
      </c>
      <c r="C549" s="20" t="s">
        <v>159</v>
      </c>
      <c r="D549" s="20" t="s">
        <v>237</v>
      </c>
      <c r="E549" s="20" t="s">
        <v>17</v>
      </c>
      <c r="F549" s="13">
        <f>'Приложение_7 '!G555</f>
        <v>0</v>
      </c>
      <c r="G549" s="2"/>
      <c r="I549" s="13">
        <v>425278.56</v>
      </c>
      <c r="J549" s="2"/>
      <c r="L549" s="69">
        <f t="shared" si="16"/>
        <v>-425278.56</v>
      </c>
      <c r="M549" s="69">
        <f t="shared" si="17"/>
        <v>0</v>
      </c>
    </row>
    <row r="550" spans="1:13" ht="31.5" outlineLevel="2" collapsed="1">
      <c r="A550" s="42" t="s">
        <v>655</v>
      </c>
      <c r="B550" s="43" t="s">
        <v>159</v>
      </c>
      <c r="C550" s="43" t="s">
        <v>159</v>
      </c>
      <c r="D550" s="43" t="s">
        <v>90</v>
      </c>
      <c r="E550" s="43" t="s">
        <v>1</v>
      </c>
      <c r="F550" s="12">
        <f>F551</f>
        <v>11400</v>
      </c>
      <c r="G550" s="1"/>
      <c r="I550" s="12">
        <v>11400</v>
      </c>
      <c r="J550" s="1"/>
      <c r="L550" s="69">
        <f t="shared" si="16"/>
        <v>0</v>
      </c>
      <c r="M550" s="69">
        <f t="shared" si="17"/>
        <v>0</v>
      </c>
    </row>
    <row r="551" spans="1:13" ht="47.25" outlineLevel="3">
      <c r="A551" s="42" t="s">
        <v>620</v>
      </c>
      <c r="B551" s="43" t="s">
        <v>159</v>
      </c>
      <c r="C551" s="43" t="s">
        <v>159</v>
      </c>
      <c r="D551" s="43" t="s">
        <v>91</v>
      </c>
      <c r="E551" s="43" t="s">
        <v>1</v>
      </c>
      <c r="F551" s="12">
        <f>F552</f>
        <v>11400</v>
      </c>
      <c r="G551" s="1"/>
      <c r="I551" s="12">
        <v>11400</v>
      </c>
      <c r="J551" s="1"/>
      <c r="L551" s="69">
        <f t="shared" si="16"/>
        <v>0</v>
      </c>
      <c r="M551" s="69">
        <f t="shared" si="17"/>
        <v>0</v>
      </c>
    </row>
    <row r="552" spans="1:13" ht="31.5" outlineLevel="4">
      <c r="A552" s="19" t="s">
        <v>510</v>
      </c>
      <c r="B552" s="20" t="s">
        <v>159</v>
      </c>
      <c r="C552" s="20" t="s">
        <v>159</v>
      </c>
      <c r="D552" s="20" t="s">
        <v>100</v>
      </c>
      <c r="E552" s="20" t="s">
        <v>1</v>
      </c>
      <c r="F552" s="13">
        <f>F553</f>
        <v>11400</v>
      </c>
      <c r="G552" s="2"/>
      <c r="I552" s="13">
        <v>11400</v>
      </c>
      <c r="J552" s="2"/>
      <c r="L552" s="69">
        <f t="shared" si="16"/>
        <v>0</v>
      </c>
      <c r="M552" s="69">
        <f t="shared" si="17"/>
        <v>0</v>
      </c>
    </row>
    <row r="553" spans="1:13" ht="31.5" outlineLevel="5">
      <c r="A553" s="19" t="s">
        <v>441</v>
      </c>
      <c r="B553" s="20" t="s">
        <v>159</v>
      </c>
      <c r="C553" s="20" t="s">
        <v>159</v>
      </c>
      <c r="D553" s="20" t="s">
        <v>101</v>
      </c>
      <c r="E553" s="20" t="s">
        <v>1</v>
      </c>
      <c r="F553" s="13">
        <f>F554</f>
        <v>11400</v>
      </c>
      <c r="G553" s="2"/>
      <c r="I553" s="13">
        <v>11400</v>
      </c>
      <c r="J553" s="2"/>
      <c r="L553" s="69">
        <f t="shared" si="16"/>
        <v>0</v>
      </c>
      <c r="M553" s="69">
        <f t="shared" si="17"/>
        <v>0</v>
      </c>
    </row>
    <row r="554" spans="1:13" ht="31.5" outlineLevel="6">
      <c r="A554" s="19" t="s">
        <v>689</v>
      </c>
      <c r="B554" s="20" t="s">
        <v>159</v>
      </c>
      <c r="C554" s="20" t="s">
        <v>159</v>
      </c>
      <c r="D554" s="20" t="s">
        <v>101</v>
      </c>
      <c r="E554" s="20" t="s">
        <v>17</v>
      </c>
      <c r="F554" s="13">
        <f>'Приложение_7 '!G560</f>
        <v>11400</v>
      </c>
      <c r="G554" s="2"/>
      <c r="I554" s="13">
        <v>11400</v>
      </c>
      <c r="J554" s="2"/>
      <c r="L554" s="69">
        <f t="shared" si="16"/>
        <v>0</v>
      </c>
      <c r="M554" s="69">
        <f t="shared" si="17"/>
        <v>0</v>
      </c>
    </row>
    <row r="555" spans="1:13" ht="15.75" outlineLevel="2">
      <c r="A555" s="42" t="s">
        <v>490</v>
      </c>
      <c r="B555" s="43" t="s">
        <v>159</v>
      </c>
      <c r="C555" s="43" t="s">
        <v>159</v>
      </c>
      <c r="D555" s="43" t="s">
        <v>11</v>
      </c>
      <c r="E555" s="43" t="s">
        <v>1</v>
      </c>
      <c r="F555" s="12">
        <f>F556</f>
        <v>628992.52</v>
      </c>
      <c r="G555" s="1"/>
      <c r="I555" s="12">
        <v>2114816.52</v>
      </c>
      <c r="J555" s="1"/>
      <c r="L555" s="69">
        <f t="shared" si="16"/>
        <v>-1485824</v>
      </c>
      <c r="M555" s="69">
        <f t="shared" si="17"/>
        <v>0</v>
      </c>
    </row>
    <row r="556" spans="1:13" ht="63" outlineLevel="5">
      <c r="A556" s="19" t="s">
        <v>443</v>
      </c>
      <c r="B556" s="20" t="s">
        <v>159</v>
      </c>
      <c r="C556" s="20" t="s">
        <v>159</v>
      </c>
      <c r="D556" s="20" t="s">
        <v>238</v>
      </c>
      <c r="E556" s="20" t="s">
        <v>1</v>
      </c>
      <c r="F556" s="13">
        <f>F557</f>
        <v>628992.52</v>
      </c>
      <c r="G556" s="2"/>
      <c r="I556" s="13">
        <v>2114816.52</v>
      </c>
      <c r="J556" s="2"/>
      <c r="L556" s="69">
        <f t="shared" si="16"/>
        <v>-1485824</v>
      </c>
      <c r="M556" s="69">
        <f t="shared" si="17"/>
        <v>0</v>
      </c>
    </row>
    <row r="557" spans="1:13" ht="31.5" outlineLevel="6">
      <c r="A557" s="19" t="s">
        <v>692</v>
      </c>
      <c r="B557" s="20" t="s">
        <v>159</v>
      </c>
      <c r="C557" s="20" t="s">
        <v>159</v>
      </c>
      <c r="D557" s="20" t="s">
        <v>238</v>
      </c>
      <c r="E557" s="20" t="s">
        <v>70</v>
      </c>
      <c r="F557" s="13">
        <f>'Приложение_7 '!G563</f>
        <v>628992.52</v>
      </c>
      <c r="G557" s="2"/>
      <c r="I557" s="13">
        <v>2114816.52</v>
      </c>
      <c r="J557" s="2"/>
      <c r="L557" s="69">
        <f t="shared" si="16"/>
        <v>-1485824</v>
      </c>
      <c r="M557" s="69">
        <f t="shared" si="17"/>
        <v>0</v>
      </c>
    </row>
    <row r="558" spans="1:13" ht="15.75" outlineLevel="6">
      <c r="A558" s="32" t="s">
        <v>933</v>
      </c>
      <c r="B558" s="33" t="s">
        <v>60</v>
      </c>
      <c r="C558" s="33" t="s">
        <v>3</v>
      </c>
      <c r="D558" s="33" t="s">
        <v>4</v>
      </c>
      <c r="E558" s="33" t="s">
        <v>1</v>
      </c>
      <c r="F558" s="12">
        <f>F559</f>
        <v>199885.74</v>
      </c>
      <c r="G558" s="1"/>
      <c r="I558" s="13"/>
      <c r="J558" s="2"/>
      <c r="L558" s="69"/>
      <c r="M558" s="69"/>
    </row>
    <row r="559" spans="1:13" ht="31.5" outlineLevel="6">
      <c r="A559" s="32" t="s">
        <v>934</v>
      </c>
      <c r="B559" s="33" t="s">
        <v>60</v>
      </c>
      <c r="C559" s="33" t="s">
        <v>14</v>
      </c>
      <c r="D559" s="33" t="s">
        <v>4</v>
      </c>
      <c r="E559" s="33" t="s">
        <v>1</v>
      </c>
      <c r="F559" s="12">
        <f>F560</f>
        <v>199885.74</v>
      </c>
      <c r="G559" s="1"/>
      <c r="I559" s="13"/>
      <c r="J559" s="2"/>
      <c r="L559" s="69"/>
      <c r="M559" s="69"/>
    </row>
    <row r="560" spans="1:13" ht="31.5" outlineLevel="6">
      <c r="A560" s="32" t="s">
        <v>936</v>
      </c>
      <c r="B560" s="33" t="s">
        <v>60</v>
      </c>
      <c r="C560" s="33" t="s">
        <v>14</v>
      </c>
      <c r="D560" s="33" t="s">
        <v>937</v>
      </c>
      <c r="E560" s="33" t="s">
        <v>1</v>
      </c>
      <c r="F560" s="12">
        <f>F561</f>
        <v>199885.74</v>
      </c>
      <c r="G560" s="1"/>
      <c r="I560" s="13"/>
      <c r="J560" s="2"/>
      <c r="L560" s="69"/>
      <c r="M560" s="69"/>
    </row>
    <row r="561" spans="1:13" ht="47.25" outlineLevel="6">
      <c r="A561" s="36" t="s">
        <v>935</v>
      </c>
      <c r="B561" s="37" t="s">
        <v>60</v>
      </c>
      <c r="C561" s="37" t="s">
        <v>14</v>
      </c>
      <c r="D561" s="37" t="s">
        <v>938</v>
      </c>
      <c r="E561" s="37" t="s">
        <v>1</v>
      </c>
      <c r="F561" s="13">
        <f>F562</f>
        <v>199885.74</v>
      </c>
      <c r="G561" s="2"/>
      <c r="I561" s="13"/>
      <c r="J561" s="2"/>
      <c r="L561" s="69"/>
      <c r="M561" s="69"/>
    </row>
    <row r="562" spans="1:13" ht="31.5" outlineLevel="6">
      <c r="A562" s="36" t="s">
        <v>441</v>
      </c>
      <c r="B562" s="37" t="s">
        <v>60</v>
      </c>
      <c r="C562" s="37" t="s">
        <v>14</v>
      </c>
      <c r="D562" s="37" t="s">
        <v>939</v>
      </c>
      <c r="E562" s="37" t="s">
        <v>1</v>
      </c>
      <c r="F562" s="13">
        <f>F563</f>
        <v>199885.74</v>
      </c>
      <c r="G562" s="2"/>
      <c r="I562" s="13"/>
      <c r="J562" s="2"/>
      <c r="L562" s="69"/>
      <c r="M562" s="69"/>
    </row>
    <row r="563" spans="1:13" ht="31.5" outlineLevel="6">
      <c r="A563" s="36" t="s">
        <v>689</v>
      </c>
      <c r="B563" s="37" t="s">
        <v>60</v>
      </c>
      <c r="C563" s="37" t="s">
        <v>14</v>
      </c>
      <c r="D563" s="37" t="s">
        <v>939</v>
      </c>
      <c r="E563" s="37" t="s">
        <v>17</v>
      </c>
      <c r="F563" s="13">
        <f>'Приложение_7 '!G569</f>
        <v>199885.74</v>
      </c>
      <c r="G563" s="2"/>
      <c r="I563" s="13"/>
      <c r="J563" s="2"/>
      <c r="L563" s="69"/>
      <c r="M563" s="69"/>
    </row>
    <row r="564" spans="1:13" s="68" customFormat="1" ht="15.75">
      <c r="A564" s="42" t="s">
        <v>696</v>
      </c>
      <c r="B564" s="43" t="s">
        <v>239</v>
      </c>
      <c r="C564" s="43" t="s">
        <v>3</v>
      </c>
      <c r="D564" s="43" t="s">
        <v>4</v>
      </c>
      <c r="E564" s="43" t="s">
        <v>1</v>
      </c>
      <c r="F564" s="12">
        <f>F565+F604+F658+F707+F754</f>
        <v>1414724208.29</v>
      </c>
      <c r="G564" s="12">
        <f>G565+G604+G658+G707+G754</f>
        <v>713968694.21</v>
      </c>
      <c r="I564" s="12">
        <v>1404083209.76</v>
      </c>
      <c r="J564" s="1">
        <f>J565+J604+J658+J707+J754</f>
        <v>716130894.21</v>
      </c>
      <c r="L564" s="69">
        <f t="shared" si="16"/>
        <v>10640998.529999971</v>
      </c>
      <c r="M564" s="69">
        <f t="shared" si="17"/>
        <v>-2162200</v>
      </c>
    </row>
    <row r="565" spans="1:13" s="68" customFormat="1" ht="25.5" customHeight="1" outlineLevel="1">
      <c r="A565" s="42" t="s">
        <v>676</v>
      </c>
      <c r="B565" s="43" t="s">
        <v>239</v>
      </c>
      <c r="C565" s="43" t="s">
        <v>2</v>
      </c>
      <c r="D565" s="43" t="s">
        <v>4</v>
      </c>
      <c r="E565" s="43" t="s">
        <v>1</v>
      </c>
      <c r="F565" s="12">
        <f>F566+F599</f>
        <v>558179486.65</v>
      </c>
      <c r="G565" s="12">
        <f>G566+G599</f>
        <v>336723829.73</v>
      </c>
      <c r="I565" s="12">
        <v>553345369.49</v>
      </c>
      <c r="J565" s="1">
        <f>J566</f>
        <v>337009032.51</v>
      </c>
      <c r="L565" s="69">
        <f t="shared" si="16"/>
        <v>4834117.159999967</v>
      </c>
      <c r="M565" s="69">
        <f t="shared" si="17"/>
        <v>-285202.7799999714</v>
      </c>
    </row>
    <row r="566" spans="1:13" ht="31.5" outlineLevel="2">
      <c r="A566" s="42" t="s">
        <v>653</v>
      </c>
      <c r="B566" s="43" t="s">
        <v>239</v>
      </c>
      <c r="C566" s="43" t="s">
        <v>2</v>
      </c>
      <c r="D566" s="43" t="s">
        <v>23</v>
      </c>
      <c r="E566" s="43" t="s">
        <v>1</v>
      </c>
      <c r="F566" s="12">
        <f>F567+F581</f>
        <v>555867280.65</v>
      </c>
      <c r="G566" s="12">
        <f>G567+G581</f>
        <v>336723829.73</v>
      </c>
      <c r="I566" s="12">
        <v>550962611.49</v>
      </c>
      <c r="J566" s="1">
        <f>J567+J581</f>
        <v>337009032.51</v>
      </c>
      <c r="L566" s="69">
        <f t="shared" si="16"/>
        <v>4904669.159999967</v>
      </c>
      <c r="M566" s="69">
        <f t="shared" si="17"/>
        <v>-285202.7799999714</v>
      </c>
    </row>
    <row r="567" spans="1:13" ht="31.5" outlineLevel="3">
      <c r="A567" s="42" t="s">
        <v>636</v>
      </c>
      <c r="B567" s="43" t="s">
        <v>239</v>
      </c>
      <c r="C567" s="43" t="s">
        <v>2</v>
      </c>
      <c r="D567" s="43" t="s">
        <v>240</v>
      </c>
      <c r="E567" s="43" t="s">
        <v>1</v>
      </c>
      <c r="F567" s="12">
        <f>F568+F575+F578</f>
        <v>547439497.88</v>
      </c>
      <c r="G567" s="12">
        <f>G568+G575+G578</f>
        <v>335949316</v>
      </c>
      <c r="I567" s="12">
        <v>548820879.76</v>
      </c>
      <c r="J567" s="1">
        <f>J568</f>
        <v>336234518.78</v>
      </c>
      <c r="L567" s="69">
        <f t="shared" si="16"/>
        <v>-1381381.8799999952</v>
      </c>
      <c r="M567" s="69">
        <f t="shared" si="17"/>
        <v>-285202.7799999714</v>
      </c>
    </row>
    <row r="568" spans="1:13" ht="78.75" outlineLevel="4">
      <c r="A568" s="19" t="s">
        <v>958</v>
      </c>
      <c r="B568" s="20" t="s">
        <v>239</v>
      </c>
      <c r="C568" s="20" t="s">
        <v>2</v>
      </c>
      <c r="D568" s="20" t="s">
        <v>241</v>
      </c>
      <c r="E568" s="20" t="s">
        <v>1</v>
      </c>
      <c r="F568" s="13">
        <f>F569+F571+F573</f>
        <v>335964666.52</v>
      </c>
      <c r="G568" s="13">
        <f>G569+G571+G573</f>
        <v>335949316</v>
      </c>
      <c r="I568" s="13">
        <v>336265219.91</v>
      </c>
      <c r="J568" s="13">
        <f>J571+J569</f>
        <v>336234518.78</v>
      </c>
      <c r="L568" s="69">
        <f t="shared" si="16"/>
        <v>-300553.3900000453</v>
      </c>
      <c r="M568" s="69">
        <f t="shared" si="17"/>
        <v>-285202.7799999714</v>
      </c>
    </row>
    <row r="569" spans="1:13" ht="63" outlineLevel="5">
      <c r="A569" s="19" t="s">
        <v>465</v>
      </c>
      <c r="B569" s="20" t="s">
        <v>239</v>
      </c>
      <c r="C569" s="20" t="s">
        <v>2</v>
      </c>
      <c r="D569" s="20" t="s">
        <v>242</v>
      </c>
      <c r="E569" s="20" t="s">
        <v>1</v>
      </c>
      <c r="F569" s="13">
        <f>F570</f>
        <v>203716</v>
      </c>
      <c r="G569" s="13">
        <f>G570</f>
        <v>203716</v>
      </c>
      <c r="I569" s="13">
        <v>488918.78</v>
      </c>
      <c r="J569" s="13">
        <v>488918.78</v>
      </c>
      <c r="L569" s="69">
        <f t="shared" si="16"/>
        <v>-285202.78</v>
      </c>
      <c r="M569" s="69">
        <f t="shared" si="17"/>
        <v>-285202.78</v>
      </c>
    </row>
    <row r="570" spans="1:13" ht="31.5" outlineLevel="6">
      <c r="A570" s="19" t="s">
        <v>692</v>
      </c>
      <c r="B570" s="20" t="s">
        <v>239</v>
      </c>
      <c r="C570" s="20" t="s">
        <v>2</v>
      </c>
      <c r="D570" s="20" t="s">
        <v>242</v>
      </c>
      <c r="E570" s="20" t="s">
        <v>70</v>
      </c>
      <c r="F570" s="13">
        <f>'Приложение_7 '!G693</f>
        <v>203716</v>
      </c>
      <c r="G570" s="13">
        <f>F570</f>
        <v>203716</v>
      </c>
      <c r="I570" s="13">
        <v>488918.78</v>
      </c>
      <c r="J570" s="13">
        <v>488918.78</v>
      </c>
      <c r="L570" s="69">
        <f t="shared" si="16"/>
        <v>-285202.78</v>
      </c>
      <c r="M570" s="69">
        <f t="shared" si="17"/>
        <v>-285202.78</v>
      </c>
    </row>
    <row r="571" spans="1:13" ht="78.75" outlineLevel="5">
      <c r="A571" s="19" t="s">
        <v>466</v>
      </c>
      <c r="B571" s="20" t="s">
        <v>239</v>
      </c>
      <c r="C571" s="20" t="s">
        <v>2</v>
      </c>
      <c r="D571" s="20" t="s">
        <v>243</v>
      </c>
      <c r="E571" s="20" t="s">
        <v>1</v>
      </c>
      <c r="F571" s="13">
        <f>F572</f>
        <v>335745600</v>
      </c>
      <c r="G571" s="13">
        <f>G572</f>
        <v>335745600</v>
      </c>
      <c r="I571" s="13">
        <v>335745600</v>
      </c>
      <c r="J571" s="13">
        <v>335745600</v>
      </c>
      <c r="L571" s="69">
        <f t="shared" si="16"/>
        <v>0</v>
      </c>
      <c r="M571" s="69">
        <f t="shared" si="17"/>
        <v>0</v>
      </c>
    </row>
    <row r="572" spans="1:13" ht="31.5" outlineLevel="6">
      <c r="A572" s="19" t="s">
        <v>692</v>
      </c>
      <c r="B572" s="20" t="s">
        <v>239</v>
      </c>
      <c r="C572" s="20" t="s">
        <v>2</v>
      </c>
      <c r="D572" s="20" t="s">
        <v>243</v>
      </c>
      <c r="E572" s="20" t="s">
        <v>70</v>
      </c>
      <c r="F572" s="13">
        <f>'Приложение_7 '!G695</f>
        <v>335745600</v>
      </c>
      <c r="G572" s="13">
        <f>F572</f>
        <v>335745600</v>
      </c>
      <c r="I572" s="13">
        <v>335745600</v>
      </c>
      <c r="J572" s="13">
        <v>335745600</v>
      </c>
      <c r="L572" s="69">
        <f t="shared" si="16"/>
        <v>0</v>
      </c>
      <c r="M572" s="69">
        <f t="shared" si="17"/>
        <v>0</v>
      </c>
    </row>
    <row r="573" spans="1:13" ht="63" outlineLevel="5">
      <c r="A573" s="19" t="s">
        <v>465</v>
      </c>
      <c r="B573" s="20" t="s">
        <v>239</v>
      </c>
      <c r="C573" s="20" t="s">
        <v>2</v>
      </c>
      <c r="D573" s="20" t="s">
        <v>244</v>
      </c>
      <c r="E573" s="20" t="s">
        <v>1</v>
      </c>
      <c r="F573" s="13">
        <f>F574</f>
        <v>15350.52</v>
      </c>
      <c r="G573" s="2"/>
      <c r="I573" s="13">
        <v>30701.13</v>
      </c>
      <c r="J573" s="2"/>
      <c r="L573" s="69">
        <f t="shared" si="16"/>
        <v>-15350.61</v>
      </c>
      <c r="M573" s="69">
        <f t="shared" si="17"/>
        <v>0</v>
      </c>
    </row>
    <row r="574" spans="1:13" ht="31.5" outlineLevel="6">
      <c r="A574" s="19" t="s">
        <v>692</v>
      </c>
      <c r="B574" s="20" t="s">
        <v>239</v>
      </c>
      <c r="C574" s="20" t="s">
        <v>2</v>
      </c>
      <c r="D574" s="20" t="s">
        <v>244</v>
      </c>
      <c r="E574" s="20" t="s">
        <v>70</v>
      </c>
      <c r="F574" s="13">
        <f>'Приложение_7 '!G697</f>
        <v>15350.52</v>
      </c>
      <c r="G574" s="2"/>
      <c r="I574" s="13">
        <v>30701.13</v>
      </c>
      <c r="J574" s="2"/>
      <c r="L574" s="69">
        <f t="shared" si="16"/>
        <v>-15350.61</v>
      </c>
      <c r="M574" s="69">
        <f t="shared" si="17"/>
        <v>0</v>
      </c>
    </row>
    <row r="575" spans="1:13" ht="63" outlineLevel="4">
      <c r="A575" s="19" t="s">
        <v>959</v>
      </c>
      <c r="B575" s="20" t="s">
        <v>239</v>
      </c>
      <c r="C575" s="20" t="s">
        <v>2</v>
      </c>
      <c r="D575" s="20" t="s">
        <v>245</v>
      </c>
      <c r="E575" s="20" t="s">
        <v>1</v>
      </c>
      <c r="F575" s="13">
        <f>F576</f>
        <v>203242823.92</v>
      </c>
      <c r="G575" s="2"/>
      <c r="I575" s="13">
        <v>204543626.85</v>
      </c>
      <c r="J575" s="2"/>
      <c r="L575" s="69">
        <f t="shared" si="16"/>
        <v>-1300802.9300000072</v>
      </c>
      <c r="M575" s="69">
        <f t="shared" si="17"/>
        <v>0</v>
      </c>
    </row>
    <row r="576" spans="1:13" ht="63" outlineLevel="5">
      <c r="A576" s="19" t="s">
        <v>443</v>
      </c>
      <c r="B576" s="20" t="s">
        <v>239</v>
      </c>
      <c r="C576" s="20" t="s">
        <v>2</v>
      </c>
      <c r="D576" s="20" t="s">
        <v>246</v>
      </c>
      <c r="E576" s="20" t="s">
        <v>1</v>
      </c>
      <c r="F576" s="13">
        <f>F577</f>
        <v>203242823.92</v>
      </c>
      <c r="G576" s="2"/>
      <c r="I576" s="13">
        <v>204543626.85</v>
      </c>
      <c r="J576" s="2"/>
      <c r="L576" s="69">
        <f t="shared" si="16"/>
        <v>-1300802.9300000072</v>
      </c>
      <c r="M576" s="69">
        <f t="shared" si="17"/>
        <v>0</v>
      </c>
    </row>
    <row r="577" spans="1:13" ht="31.5" outlineLevel="6">
      <c r="A577" s="19" t="s">
        <v>692</v>
      </c>
      <c r="B577" s="20" t="s">
        <v>239</v>
      </c>
      <c r="C577" s="20" t="s">
        <v>2</v>
      </c>
      <c r="D577" s="20" t="s">
        <v>246</v>
      </c>
      <c r="E577" s="20" t="s">
        <v>70</v>
      </c>
      <c r="F577" s="13">
        <f>'Приложение_7 '!G700</f>
        <v>203242823.92</v>
      </c>
      <c r="G577" s="2"/>
      <c r="I577" s="13">
        <v>204543626.85</v>
      </c>
      <c r="J577" s="2"/>
      <c r="L577" s="69">
        <f t="shared" si="16"/>
        <v>-1300802.9300000072</v>
      </c>
      <c r="M577" s="69">
        <f t="shared" si="17"/>
        <v>0</v>
      </c>
    </row>
    <row r="578" spans="1:13" ht="15.75" outlineLevel="4">
      <c r="A578" s="19" t="s">
        <v>560</v>
      </c>
      <c r="B578" s="20" t="s">
        <v>239</v>
      </c>
      <c r="C578" s="20" t="s">
        <v>2</v>
      </c>
      <c r="D578" s="20" t="s">
        <v>247</v>
      </c>
      <c r="E578" s="20" t="s">
        <v>1</v>
      </c>
      <c r="F578" s="13">
        <f>F579</f>
        <v>8232007.44</v>
      </c>
      <c r="G578" s="2"/>
      <c r="I578" s="13">
        <v>8012033</v>
      </c>
      <c r="J578" s="2"/>
      <c r="L578" s="69">
        <f t="shared" si="16"/>
        <v>219974.4400000004</v>
      </c>
      <c r="M578" s="69">
        <f t="shared" si="17"/>
        <v>0</v>
      </c>
    </row>
    <row r="579" spans="1:13" ht="63" outlineLevel="5">
      <c r="A579" s="19" t="s">
        <v>432</v>
      </c>
      <c r="B579" s="20" t="s">
        <v>239</v>
      </c>
      <c r="C579" s="20" t="s">
        <v>2</v>
      </c>
      <c r="D579" s="20" t="s">
        <v>248</v>
      </c>
      <c r="E579" s="20" t="s">
        <v>1</v>
      </c>
      <c r="F579" s="13">
        <f>F580</f>
        <v>8232007.44</v>
      </c>
      <c r="G579" s="2"/>
      <c r="I579" s="13">
        <v>8012033</v>
      </c>
      <c r="J579" s="2"/>
      <c r="L579" s="69">
        <f t="shared" si="16"/>
        <v>219974.4400000004</v>
      </c>
      <c r="M579" s="69">
        <f t="shared" si="17"/>
        <v>0</v>
      </c>
    </row>
    <row r="580" spans="1:13" ht="31.5" outlineLevel="6">
      <c r="A580" s="19" t="s">
        <v>692</v>
      </c>
      <c r="B580" s="20" t="s">
        <v>239</v>
      </c>
      <c r="C580" s="20" t="s">
        <v>2</v>
      </c>
      <c r="D580" s="20" t="s">
        <v>248</v>
      </c>
      <c r="E580" s="20" t="s">
        <v>70</v>
      </c>
      <c r="F580" s="13">
        <f>'Приложение_7 '!G703</f>
        <v>8232007.44</v>
      </c>
      <c r="G580" s="2"/>
      <c r="I580" s="13">
        <v>8012033</v>
      </c>
      <c r="J580" s="2"/>
      <c r="L580" s="69">
        <f t="shared" si="16"/>
        <v>219974.4400000004</v>
      </c>
      <c r="M580" s="69">
        <f t="shared" si="17"/>
        <v>0</v>
      </c>
    </row>
    <row r="581" spans="1:13" ht="47.25" outlineLevel="3">
      <c r="A581" s="42" t="s">
        <v>637</v>
      </c>
      <c r="B581" s="43" t="s">
        <v>239</v>
      </c>
      <c r="C581" s="43" t="s">
        <v>2</v>
      </c>
      <c r="D581" s="43" t="s">
        <v>249</v>
      </c>
      <c r="E581" s="43" t="s">
        <v>1</v>
      </c>
      <c r="F581" s="12">
        <f>F582+F585+F594+F588</f>
        <v>8427782.77</v>
      </c>
      <c r="G581" s="12">
        <f>G582+G585+G594</f>
        <v>774513.73</v>
      </c>
      <c r="I581" s="12">
        <v>2141731.73</v>
      </c>
      <c r="J581" s="1">
        <f>J582</f>
        <v>774513.73</v>
      </c>
      <c r="L581" s="69">
        <f t="shared" si="16"/>
        <v>6286051.039999999</v>
      </c>
      <c r="M581" s="69">
        <f t="shared" si="17"/>
        <v>0</v>
      </c>
    </row>
    <row r="582" spans="1:13" ht="31.5" outlineLevel="4">
      <c r="A582" s="19" t="s">
        <v>561</v>
      </c>
      <c r="B582" s="20" t="s">
        <v>239</v>
      </c>
      <c r="C582" s="20" t="s">
        <v>2</v>
      </c>
      <c r="D582" s="20" t="s">
        <v>250</v>
      </c>
      <c r="E582" s="20" t="s">
        <v>1</v>
      </c>
      <c r="F582" s="13">
        <f>F583</f>
        <v>774513.73</v>
      </c>
      <c r="G582" s="13">
        <f>G583</f>
        <v>774513.73</v>
      </c>
      <c r="I582" s="13">
        <v>774513.73</v>
      </c>
      <c r="J582" s="13">
        <v>774513.73</v>
      </c>
      <c r="L582" s="69">
        <f t="shared" si="16"/>
        <v>0</v>
      </c>
      <c r="M582" s="69">
        <f t="shared" si="17"/>
        <v>0</v>
      </c>
    </row>
    <row r="583" spans="1:13" ht="47.25" outlineLevel="5">
      <c r="A583" s="19" t="s">
        <v>467</v>
      </c>
      <c r="B583" s="20" t="s">
        <v>239</v>
      </c>
      <c r="C583" s="20" t="s">
        <v>2</v>
      </c>
      <c r="D583" s="20" t="s">
        <v>251</v>
      </c>
      <c r="E583" s="20" t="s">
        <v>1</v>
      </c>
      <c r="F583" s="13">
        <f>F584</f>
        <v>774513.73</v>
      </c>
      <c r="G583" s="13">
        <f>G584</f>
        <v>774513.73</v>
      </c>
      <c r="I583" s="13">
        <v>774513.73</v>
      </c>
      <c r="J583" s="13">
        <v>774513.73</v>
      </c>
      <c r="L583" s="69">
        <f t="shared" si="16"/>
        <v>0</v>
      </c>
      <c r="M583" s="69">
        <f t="shared" si="17"/>
        <v>0</v>
      </c>
    </row>
    <row r="584" spans="1:13" ht="31.5" outlineLevel="6">
      <c r="A584" s="19" t="s">
        <v>839</v>
      </c>
      <c r="B584" s="20" t="s">
        <v>239</v>
      </c>
      <c r="C584" s="20" t="s">
        <v>2</v>
      </c>
      <c r="D584" s="20" t="s">
        <v>251</v>
      </c>
      <c r="E584" s="20" t="s">
        <v>143</v>
      </c>
      <c r="F584" s="13">
        <f>'Приложение_7 '!G576</f>
        <v>774513.73</v>
      </c>
      <c r="G584" s="13">
        <f>F584</f>
        <v>774513.73</v>
      </c>
      <c r="I584" s="13">
        <v>774513.73</v>
      </c>
      <c r="J584" s="13">
        <v>774513.73</v>
      </c>
      <c r="L584" s="69">
        <f t="shared" si="16"/>
        <v>0</v>
      </c>
      <c r="M584" s="69">
        <f t="shared" si="17"/>
        <v>0</v>
      </c>
    </row>
    <row r="585" spans="1:13" ht="31.5" outlineLevel="4">
      <c r="A585" s="19" t="s">
        <v>562</v>
      </c>
      <c r="B585" s="20" t="s">
        <v>239</v>
      </c>
      <c r="C585" s="20" t="s">
        <v>2</v>
      </c>
      <c r="D585" s="20" t="s">
        <v>252</v>
      </c>
      <c r="E585" s="20" t="s">
        <v>1</v>
      </c>
      <c r="F585" s="13">
        <f>F586</f>
        <v>715122.71</v>
      </c>
      <c r="G585" s="2"/>
      <c r="I585" s="13">
        <v>1187188</v>
      </c>
      <c r="J585" s="2"/>
      <c r="L585" s="69">
        <f t="shared" si="16"/>
        <v>-472065.29000000004</v>
      </c>
      <c r="M585" s="69">
        <f t="shared" si="17"/>
        <v>0</v>
      </c>
    </row>
    <row r="586" spans="1:13" ht="31.5" outlineLevel="5">
      <c r="A586" s="19" t="s">
        <v>441</v>
      </c>
      <c r="B586" s="20" t="s">
        <v>239</v>
      </c>
      <c r="C586" s="20" t="s">
        <v>2</v>
      </c>
      <c r="D586" s="20" t="s">
        <v>253</v>
      </c>
      <c r="E586" s="20" t="s">
        <v>1</v>
      </c>
      <c r="F586" s="13">
        <f>F587</f>
        <v>715122.71</v>
      </c>
      <c r="G586" s="2"/>
      <c r="I586" s="13">
        <v>1187188</v>
      </c>
      <c r="J586" s="2"/>
      <c r="L586" s="69">
        <f t="shared" si="16"/>
        <v>-472065.29000000004</v>
      </c>
      <c r="M586" s="69">
        <f t="shared" si="17"/>
        <v>0</v>
      </c>
    </row>
    <row r="587" spans="1:13" ht="31.5" outlineLevel="6">
      <c r="A587" s="19" t="s">
        <v>692</v>
      </c>
      <c r="B587" s="20" t="s">
        <v>239</v>
      </c>
      <c r="C587" s="20" t="s">
        <v>2</v>
      </c>
      <c r="D587" s="20" t="s">
        <v>253</v>
      </c>
      <c r="E587" s="20" t="s">
        <v>70</v>
      </c>
      <c r="F587" s="13">
        <f>'Приложение_7 '!G707</f>
        <v>715122.71</v>
      </c>
      <c r="G587" s="2"/>
      <c r="I587" s="13">
        <v>1187188</v>
      </c>
      <c r="J587" s="2"/>
      <c r="L587" s="69">
        <f t="shared" si="16"/>
        <v>-472065.29000000004</v>
      </c>
      <c r="M587" s="69">
        <f t="shared" si="17"/>
        <v>0</v>
      </c>
    </row>
    <row r="588" spans="1:13" ht="47.25" outlineLevel="6">
      <c r="A588" s="36" t="s">
        <v>585</v>
      </c>
      <c r="B588" s="37" t="s">
        <v>239</v>
      </c>
      <c r="C588" s="37" t="s">
        <v>2</v>
      </c>
      <c r="D588" s="37" t="s">
        <v>415</v>
      </c>
      <c r="E588" s="37" t="s">
        <v>1</v>
      </c>
      <c r="F588" s="13">
        <f>F589+F592</f>
        <v>5858219.38</v>
      </c>
      <c r="G588" s="2"/>
      <c r="I588" s="13"/>
      <c r="J588" s="2"/>
      <c r="L588" s="69"/>
      <c r="M588" s="69"/>
    </row>
    <row r="589" spans="1:13" ht="31.5" outlineLevel="6">
      <c r="A589" s="36" t="s">
        <v>456</v>
      </c>
      <c r="B589" s="37" t="s">
        <v>239</v>
      </c>
      <c r="C589" s="37" t="s">
        <v>2</v>
      </c>
      <c r="D589" s="37" t="s">
        <v>890</v>
      </c>
      <c r="E589" s="37" t="s">
        <v>1</v>
      </c>
      <c r="F589" s="13">
        <f>F591+F590</f>
        <v>4303209.38</v>
      </c>
      <c r="G589" s="2"/>
      <c r="I589" s="13"/>
      <c r="J589" s="2"/>
      <c r="L589" s="69"/>
      <c r="M589" s="69"/>
    </row>
    <row r="590" spans="1:13" ht="31.5" outlineLevel="6">
      <c r="A590" s="36" t="s">
        <v>689</v>
      </c>
      <c r="B590" s="37" t="s">
        <v>239</v>
      </c>
      <c r="C590" s="37" t="s">
        <v>2</v>
      </c>
      <c r="D590" s="37" t="s">
        <v>890</v>
      </c>
      <c r="E590" s="37" t="s">
        <v>17</v>
      </c>
      <c r="F590" s="13">
        <f>'Приложение_7 '!G579</f>
        <v>262900</v>
      </c>
      <c r="G590" s="2"/>
      <c r="I590" s="13"/>
      <c r="J590" s="2"/>
      <c r="L590" s="69"/>
      <c r="M590" s="69"/>
    </row>
    <row r="591" spans="1:13" ht="31.5" outlineLevel="6">
      <c r="A591" s="36" t="s">
        <v>692</v>
      </c>
      <c r="B591" s="37" t="s">
        <v>239</v>
      </c>
      <c r="C591" s="37" t="s">
        <v>2</v>
      </c>
      <c r="D591" s="37" t="s">
        <v>890</v>
      </c>
      <c r="E591" s="37" t="s">
        <v>70</v>
      </c>
      <c r="F591" s="13">
        <f>'Приложение_7 '!G710</f>
        <v>4040309.38</v>
      </c>
      <c r="G591" s="2"/>
      <c r="I591" s="13"/>
      <c r="J591" s="2"/>
      <c r="L591" s="69"/>
      <c r="M591" s="69"/>
    </row>
    <row r="592" spans="1:13" ht="31.5" outlineLevel="6">
      <c r="A592" s="36" t="s">
        <v>441</v>
      </c>
      <c r="B592" s="37" t="s">
        <v>239</v>
      </c>
      <c r="C592" s="37" t="s">
        <v>2</v>
      </c>
      <c r="D592" s="37" t="s">
        <v>947</v>
      </c>
      <c r="E592" s="37" t="s">
        <v>1</v>
      </c>
      <c r="F592" s="13">
        <f>F593</f>
        <v>1555010</v>
      </c>
      <c r="G592" s="2"/>
      <c r="I592" s="13"/>
      <c r="J592" s="2"/>
      <c r="L592" s="69"/>
      <c r="M592" s="69"/>
    </row>
    <row r="593" spans="1:13" ht="31.5" outlineLevel="6">
      <c r="A593" s="36" t="s">
        <v>692</v>
      </c>
      <c r="B593" s="37" t="s">
        <v>239</v>
      </c>
      <c r="C593" s="37" t="s">
        <v>2</v>
      </c>
      <c r="D593" s="37" t="s">
        <v>947</v>
      </c>
      <c r="E593" s="37" t="s">
        <v>70</v>
      </c>
      <c r="F593" s="13">
        <f>'Приложение_7 '!G712</f>
        <v>1555010</v>
      </c>
      <c r="G593" s="2"/>
      <c r="I593" s="13"/>
      <c r="J593" s="2"/>
      <c r="L593" s="69"/>
      <c r="M593" s="69"/>
    </row>
    <row r="594" spans="1:13" ht="47.25" outlineLevel="4">
      <c r="A594" s="19" t="s">
        <v>563</v>
      </c>
      <c r="B594" s="20" t="s">
        <v>239</v>
      </c>
      <c r="C594" s="20" t="s">
        <v>2</v>
      </c>
      <c r="D594" s="20" t="s">
        <v>254</v>
      </c>
      <c r="E594" s="20" t="s">
        <v>1</v>
      </c>
      <c r="F594" s="13">
        <f>F597+F595</f>
        <v>1079926.95</v>
      </c>
      <c r="G594" s="2"/>
      <c r="I594" s="13">
        <v>180030</v>
      </c>
      <c r="J594" s="2"/>
      <c r="L594" s="69">
        <f t="shared" si="16"/>
        <v>899896.95</v>
      </c>
      <c r="M594" s="69">
        <f t="shared" si="17"/>
        <v>0</v>
      </c>
    </row>
    <row r="595" spans="1:13" ht="31.5" outlineLevel="4">
      <c r="A595" s="36" t="s">
        <v>456</v>
      </c>
      <c r="B595" s="37" t="s">
        <v>239</v>
      </c>
      <c r="C595" s="37" t="s">
        <v>2</v>
      </c>
      <c r="D595" s="37" t="s">
        <v>416</v>
      </c>
      <c r="E595" s="37" t="s">
        <v>1</v>
      </c>
      <c r="F595" s="13">
        <f>F596</f>
        <v>887050</v>
      </c>
      <c r="G595" s="2"/>
      <c r="I595" s="13"/>
      <c r="J595" s="2"/>
      <c r="L595" s="69"/>
      <c r="M595" s="69"/>
    </row>
    <row r="596" spans="1:13" ht="31.5" outlineLevel="4">
      <c r="A596" s="36" t="s">
        <v>692</v>
      </c>
      <c r="B596" s="37" t="s">
        <v>239</v>
      </c>
      <c r="C596" s="37" t="s">
        <v>2</v>
      </c>
      <c r="D596" s="37" t="s">
        <v>416</v>
      </c>
      <c r="E596" s="37" t="s">
        <v>70</v>
      </c>
      <c r="F596" s="13">
        <f>'Приложение_7 '!G715</f>
        <v>887050</v>
      </c>
      <c r="G596" s="2"/>
      <c r="I596" s="13"/>
      <c r="J596" s="2"/>
      <c r="L596" s="69"/>
      <c r="M596" s="69"/>
    </row>
    <row r="597" spans="1:13" ht="31.5" outlineLevel="5">
      <c r="A597" s="19" t="s">
        <v>441</v>
      </c>
      <c r="B597" s="20" t="s">
        <v>239</v>
      </c>
      <c r="C597" s="20" t="s">
        <v>2</v>
      </c>
      <c r="D597" s="20" t="s">
        <v>255</v>
      </c>
      <c r="E597" s="20" t="s">
        <v>1</v>
      </c>
      <c r="F597" s="13">
        <f>F598</f>
        <v>192876.95</v>
      </c>
      <c r="G597" s="2"/>
      <c r="I597" s="13">
        <v>180030</v>
      </c>
      <c r="J597" s="2"/>
      <c r="L597" s="69">
        <f t="shared" si="16"/>
        <v>12846.950000000012</v>
      </c>
      <c r="M597" s="69">
        <f t="shared" si="17"/>
        <v>0</v>
      </c>
    </row>
    <row r="598" spans="1:13" ht="31.5" outlineLevel="6">
      <c r="A598" s="19" t="s">
        <v>692</v>
      </c>
      <c r="B598" s="20" t="s">
        <v>239</v>
      </c>
      <c r="C598" s="20" t="s">
        <v>2</v>
      </c>
      <c r="D598" s="20" t="s">
        <v>255</v>
      </c>
      <c r="E598" s="20" t="s">
        <v>70</v>
      </c>
      <c r="F598" s="13">
        <f>'Приложение_7 '!G717</f>
        <v>192876.95</v>
      </c>
      <c r="G598" s="2"/>
      <c r="I598" s="13">
        <v>180030</v>
      </c>
      <c r="J598" s="2"/>
      <c r="L598" s="69">
        <f t="shared" si="16"/>
        <v>12846.950000000012</v>
      </c>
      <c r="M598" s="69">
        <f t="shared" si="17"/>
        <v>0</v>
      </c>
    </row>
    <row r="599" spans="1:13" ht="31.5" outlineLevel="2">
      <c r="A599" s="42" t="s">
        <v>655</v>
      </c>
      <c r="B599" s="43" t="s">
        <v>239</v>
      </c>
      <c r="C599" s="43" t="s">
        <v>2</v>
      </c>
      <c r="D599" s="43" t="s">
        <v>90</v>
      </c>
      <c r="E599" s="43" t="s">
        <v>1</v>
      </c>
      <c r="F599" s="12">
        <f>F600</f>
        <v>2312206</v>
      </c>
      <c r="G599" s="1"/>
      <c r="I599" s="12">
        <v>2382758</v>
      </c>
      <c r="J599" s="1"/>
      <c r="L599" s="69">
        <f t="shared" si="16"/>
        <v>-70552</v>
      </c>
      <c r="M599" s="69">
        <f t="shared" si="17"/>
        <v>0</v>
      </c>
    </row>
    <row r="600" spans="1:13" ht="47.25" outlineLevel="3">
      <c r="A600" s="42" t="s">
        <v>620</v>
      </c>
      <c r="B600" s="43" t="s">
        <v>239</v>
      </c>
      <c r="C600" s="43" t="s">
        <v>2</v>
      </c>
      <c r="D600" s="43" t="s">
        <v>91</v>
      </c>
      <c r="E600" s="43" t="s">
        <v>1</v>
      </c>
      <c r="F600" s="12">
        <f>F601</f>
        <v>2312206</v>
      </c>
      <c r="G600" s="1"/>
      <c r="I600" s="12">
        <v>2382758</v>
      </c>
      <c r="J600" s="1"/>
      <c r="L600" s="69">
        <f t="shared" si="16"/>
        <v>-70552</v>
      </c>
      <c r="M600" s="69">
        <f t="shared" si="17"/>
        <v>0</v>
      </c>
    </row>
    <row r="601" spans="1:13" ht="31.5" outlineLevel="4">
      <c r="A601" s="19" t="s">
        <v>510</v>
      </c>
      <c r="B601" s="20" t="s">
        <v>239</v>
      </c>
      <c r="C601" s="20" t="s">
        <v>2</v>
      </c>
      <c r="D601" s="20" t="s">
        <v>100</v>
      </c>
      <c r="E601" s="20" t="s">
        <v>1</v>
      </c>
      <c r="F601" s="13">
        <f>F602</f>
        <v>2312206</v>
      </c>
      <c r="G601" s="2"/>
      <c r="I601" s="13">
        <v>2382758</v>
      </c>
      <c r="J601" s="2"/>
      <c r="L601" s="69">
        <f t="shared" si="16"/>
        <v>-70552</v>
      </c>
      <c r="M601" s="69">
        <f t="shared" si="17"/>
        <v>0</v>
      </c>
    </row>
    <row r="602" spans="1:13" ht="31.5" outlineLevel="5">
      <c r="A602" s="19" t="s">
        <v>441</v>
      </c>
      <c r="B602" s="20" t="s">
        <v>239</v>
      </c>
      <c r="C602" s="20" t="s">
        <v>2</v>
      </c>
      <c r="D602" s="20" t="s">
        <v>101</v>
      </c>
      <c r="E602" s="20" t="s">
        <v>1</v>
      </c>
      <c r="F602" s="13">
        <f>F603</f>
        <v>2312206</v>
      </c>
      <c r="G602" s="2"/>
      <c r="I602" s="13">
        <v>2382758</v>
      </c>
      <c r="J602" s="2"/>
      <c r="L602" s="69">
        <f t="shared" si="16"/>
        <v>-70552</v>
      </c>
      <c r="M602" s="69">
        <f t="shared" si="17"/>
        <v>0</v>
      </c>
    </row>
    <row r="603" spans="1:13" ht="31.5" outlineLevel="6">
      <c r="A603" s="19" t="s">
        <v>692</v>
      </c>
      <c r="B603" s="20" t="s">
        <v>239</v>
      </c>
      <c r="C603" s="20" t="s">
        <v>2</v>
      </c>
      <c r="D603" s="20" t="s">
        <v>101</v>
      </c>
      <c r="E603" s="20" t="s">
        <v>70</v>
      </c>
      <c r="F603" s="13">
        <f>'Приложение_7 '!G722</f>
        <v>2312206</v>
      </c>
      <c r="G603" s="2"/>
      <c r="I603" s="13">
        <v>2382758</v>
      </c>
      <c r="J603" s="2"/>
      <c r="L603" s="69">
        <f t="shared" si="16"/>
        <v>-70552</v>
      </c>
      <c r="M603" s="69">
        <f t="shared" si="17"/>
        <v>0</v>
      </c>
    </row>
    <row r="604" spans="1:13" s="68" customFormat="1" ht="28.5" customHeight="1" outlineLevel="1">
      <c r="A604" s="42" t="s">
        <v>677</v>
      </c>
      <c r="B604" s="43" t="s">
        <v>239</v>
      </c>
      <c r="C604" s="43" t="s">
        <v>5</v>
      </c>
      <c r="D604" s="43" t="s">
        <v>4</v>
      </c>
      <c r="E604" s="43" t="s">
        <v>1</v>
      </c>
      <c r="F604" s="12">
        <f>F605+F653</f>
        <v>474977774.92</v>
      </c>
      <c r="G604" s="12">
        <f>G605+G653</f>
        <v>351506557.28999996</v>
      </c>
      <c r="I604" s="12">
        <v>466551410.7</v>
      </c>
      <c r="J604" s="1">
        <f>J605</f>
        <v>353524745.7</v>
      </c>
      <c r="L604" s="69">
        <f t="shared" si="16"/>
        <v>8426364.220000029</v>
      </c>
      <c r="M604" s="69">
        <f t="shared" si="17"/>
        <v>-2018188.4100000262</v>
      </c>
    </row>
    <row r="605" spans="1:13" ht="31.5" outlineLevel="2">
      <c r="A605" s="42" t="s">
        <v>653</v>
      </c>
      <c r="B605" s="43" t="s">
        <v>239</v>
      </c>
      <c r="C605" s="43" t="s">
        <v>5</v>
      </c>
      <c r="D605" s="43" t="s">
        <v>23</v>
      </c>
      <c r="E605" s="43" t="s">
        <v>1</v>
      </c>
      <c r="F605" s="12">
        <f>F615+F639+F606</f>
        <v>473913822.92</v>
      </c>
      <c r="G605" s="12">
        <f>G615+G639+G606</f>
        <v>351506557.28999996</v>
      </c>
      <c r="I605" s="12">
        <v>465588010.7</v>
      </c>
      <c r="J605" s="1">
        <f>J615</f>
        <v>353524745.7</v>
      </c>
      <c r="L605" s="69">
        <f t="shared" si="16"/>
        <v>8325812.220000029</v>
      </c>
      <c r="M605" s="69">
        <f t="shared" si="17"/>
        <v>-2018188.4100000262</v>
      </c>
    </row>
    <row r="606" spans="1:13" ht="31.5" outlineLevel="2">
      <c r="A606" s="32" t="s">
        <v>636</v>
      </c>
      <c r="B606" s="33" t="s">
        <v>239</v>
      </c>
      <c r="C606" s="33" t="s">
        <v>5</v>
      </c>
      <c r="D606" s="33" t="s">
        <v>240</v>
      </c>
      <c r="E606" s="33" t="s">
        <v>1</v>
      </c>
      <c r="F606" s="12">
        <f>F607+F612</f>
        <v>3393553.1</v>
      </c>
      <c r="G606" s="12">
        <f>G607+G612</f>
        <v>144011.59</v>
      </c>
      <c r="I606" s="12"/>
      <c r="J606" s="1"/>
      <c r="L606" s="69"/>
      <c r="M606" s="69"/>
    </row>
    <row r="607" spans="1:13" ht="78.75" outlineLevel="2">
      <c r="A607" s="36" t="s">
        <v>958</v>
      </c>
      <c r="B607" s="37" t="s">
        <v>239</v>
      </c>
      <c r="C607" s="37" t="s">
        <v>5</v>
      </c>
      <c r="D607" s="37" t="s">
        <v>241</v>
      </c>
      <c r="E607" s="37" t="s">
        <v>1</v>
      </c>
      <c r="F607" s="13">
        <f>F608+F610</f>
        <v>151931.08</v>
      </c>
      <c r="G607" s="13">
        <f>G608+G610</f>
        <v>144011.59</v>
      </c>
      <c r="I607" s="12"/>
      <c r="J607" s="1"/>
      <c r="L607" s="69"/>
      <c r="M607" s="69"/>
    </row>
    <row r="608" spans="1:13" ht="63" outlineLevel="2">
      <c r="A608" s="36" t="s">
        <v>465</v>
      </c>
      <c r="B608" s="37" t="s">
        <v>239</v>
      </c>
      <c r="C608" s="37" t="s">
        <v>5</v>
      </c>
      <c r="D608" s="37" t="s">
        <v>242</v>
      </c>
      <c r="E608" s="37" t="s">
        <v>1</v>
      </c>
      <c r="F608" s="13">
        <f>F609</f>
        <v>144011.59</v>
      </c>
      <c r="G608" s="13">
        <f>G609</f>
        <v>144011.59</v>
      </c>
      <c r="I608" s="12"/>
      <c r="J608" s="1"/>
      <c r="L608" s="69"/>
      <c r="M608" s="69"/>
    </row>
    <row r="609" spans="1:13" ht="31.5" outlineLevel="2">
      <c r="A609" s="36" t="s">
        <v>692</v>
      </c>
      <c r="B609" s="37" t="s">
        <v>239</v>
      </c>
      <c r="C609" s="37" t="s">
        <v>5</v>
      </c>
      <c r="D609" s="37" t="s">
        <v>242</v>
      </c>
      <c r="E609" s="37" t="s">
        <v>70</v>
      </c>
      <c r="F609" s="13">
        <f>'Приложение_7 '!G728</f>
        <v>144011.59</v>
      </c>
      <c r="G609" s="13">
        <f>F609</f>
        <v>144011.59</v>
      </c>
      <c r="I609" s="12"/>
      <c r="J609" s="1"/>
      <c r="L609" s="69"/>
      <c r="M609" s="69"/>
    </row>
    <row r="610" spans="1:13" ht="63" outlineLevel="2">
      <c r="A610" s="36" t="s">
        <v>465</v>
      </c>
      <c r="B610" s="37" t="s">
        <v>239</v>
      </c>
      <c r="C610" s="37" t="s">
        <v>5</v>
      </c>
      <c r="D610" s="37" t="s">
        <v>244</v>
      </c>
      <c r="E610" s="37" t="s">
        <v>1</v>
      </c>
      <c r="F610" s="13">
        <f>F611</f>
        <v>7919.49</v>
      </c>
      <c r="G610" s="13"/>
      <c r="I610" s="12"/>
      <c r="J610" s="1"/>
      <c r="L610" s="69"/>
      <c r="M610" s="69"/>
    </row>
    <row r="611" spans="1:13" ht="31.5" outlineLevel="2">
      <c r="A611" s="36" t="s">
        <v>692</v>
      </c>
      <c r="B611" s="37" t="s">
        <v>239</v>
      </c>
      <c r="C611" s="37" t="s">
        <v>5</v>
      </c>
      <c r="D611" s="37" t="s">
        <v>244</v>
      </c>
      <c r="E611" s="37" t="s">
        <v>70</v>
      </c>
      <c r="F611" s="13">
        <f>'Приложение_7 '!G730</f>
        <v>7919.49</v>
      </c>
      <c r="G611" s="13"/>
      <c r="I611" s="12"/>
      <c r="J611" s="1"/>
      <c r="L611" s="69"/>
      <c r="M611" s="69"/>
    </row>
    <row r="612" spans="1:13" ht="63" outlineLevel="2">
      <c r="A612" s="36" t="s">
        <v>962</v>
      </c>
      <c r="B612" s="37" t="s">
        <v>239</v>
      </c>
      <c r="C612" s="37" t="s">
        <v>5</v>
      </c>
      <c r="D612" s="37" t="s">
        <v>245</v>
      </c>
      <c r="E612" s="37" t="s">
        <v>1</v>
      </c>
      <c r="F612" s="13">
        <f>F613</f>
        <v>3241622.02</v>
      </c>
      <c r="G612" s="13"/>
      <c r="I612" s="12"/>
      <c r="J612" s="1"/>
      <c r="L612" s="69"/>
      <c r="M612" s="69"/>
    </row>
    <row r="613" spans="1:13" ht="63" outlineLevel="2">
      <c r="A613" s="36" t="s">
        <v>443</v>
      </c>
      <c r="B613" s="37" t="s">
        <v>239</v>
      </c>
      <c r="C613" s="37" t="s">
        <v>5</v>
      </c>
      <c r="D613" s="37" t="s">
        <v>246</v>
      </c>
      <c r="E613" s="37" t="s">
        <v>1</v>
      </c>
      <c r="F613" s="13">
        <f>F614</f>
        <v>3241622.02</v>
      </c>
      <c r="G613" s="13"/>
      <c r="I613" s="12"/>
      <c r="J613" s="1"/>
      <c r="L613" s="69"/>
      <c r="M613" s="69"/>
    </row>
    <row r="614" spans="1:13" ht="31.5" outlineLevel="2">
      <c r="A614" s="36" t="s">
        <v>692</v>
      </c>
      <c r="B614" s="37" t="s">
        <v>239</v>
      </c>
      <c r="C614" s="37" t="s">
        <v>5</v>
      </c>
      <c r="D614" s="37" t="s">
        <v>246</v>
      </c>
      <c r="E614" s="37" t="s">
        <v>70</v>
      </c>
      <c r="F614" s="13">
        <f>'Приложение_7 '!G733</f>
        <v>3241622.02</v>
      </c>
      <c r="G614" s="13"/>
      <c r="I614" s="12"/>
      <c r="J614" s="1"/>
      <c r="L614" s="69"/>
      <c r="M614" s="69"/>
    </row>
    <row r="615" spans="1:13" ht="47.25" outlineLevel="3">
      <c r="A615" s="42" t="s">
        <v>638</v>
      </c>
      <c r="B615" s="43" t="s">
        <v>239</v>
      </c>
      <c r="C615" s="43" t="s">
        <v>5</v>
      </c>
      <c r="D615" s="43" t="s">
        <v>256</v>
      </c>
      <c r="E615" s="43" t="s">
        <v>1</v>
      </c>
      <c r="F615" s="12">
        <f>F616+F623+F630+F633+F636</f>
        <v>461536058.08</v>
      </c>
      <c r="G615" s="12">
        <f>G616+G623+G630+G633+G636</f>
        <v>351362545.7</v>
      </c>
      <c r="I615" s="12">
        <v>461970374.7</v>
      </c>
      <c r="J615" s="1">
        <f>J616+J623+J630</f>
        <v>353524745.7</v>
      </c>
      <c r="L615" s="69">
        <f t="shared" si="16"/>
        <v>-434316.62000000477</v>
      </c>
      <c r="M615" s="69">
        <f t="shared" si="17"/>
        <v>-2162200</v>
      </c>
    </row>
    <row r="616" spans="1:13" ht="63" outlineLevel="4">
      <c r="A616" s="19" t="s">
        <v>564</v>
      </c>
      <c r="B616" s="20" t="s">
        <v>239</v>
      </c>
      <c r="C616" s="20" t="s">
        <v>5</v>
      </c>
      <c r="D616" s="20" t="s">
        <v>257</v>
      </c>
      <c r="E616" s="20" t="s">
        <v>1</v>
      </c>
      <c r="F616" s="13">
        <f>F617+F619+F621</f>
        <v>138171741.06000003</v>
      </c>
      <c r="G616" s="13">
        <f>G617+G619+G621</f>
        <v>138159615.44000003</v>
      </c>
      <c r="I616" s="13">
        <v>140333941.06</v>
      </c>
      <c r="J616" s="13">
        <f>J617+J619</f>
        <v>140321815.44000003</v>
      </c>
      <c r="L616" s="69">
        <f t="shared" si="16"/>
        <v>-2162199.99999997</v>
      </c>
      <c r="M616" s="69">
        <f t="shared" si="17"/>
        <v>-2162200</v>
      </c>
    </row>
    <row r="617" spans="1:13" ht="63" outlineLevel="5">
      <c r="A617" s="19" t="s">
        <v>465</v>
      </c>
      <c r="B617" s="20" t="s">
        <v>239</v>
      </c>
      <c r="C617" s="20" t="s">
        <v>5</v>
      </c>
      <c r="D617" s="20" t="s">
        <v>258</v>
      </c>
      <c r="E617" s="20" t="s">
        <v>1</v>
      </c>
      <c r="F617" s="13">
        <f>F618</f>
        <v>230386.86</v>
      </c>
      <c r="G617" s="13">
        <f>G618</f>
        <v>230386.86</v>
      </c>
      <c r="I617" s="13">
        <v>230386.86</v>
      </c>
      <c r="J617" s="13">
        <v>230386.86</v>
      </c>
      <c r="L617" s="69">
        <f t="shared" si="16"/>
        <v>0</v>
      </c>
      <c r="M617" s="69">
        <f t="shared" si="17"/>
        <v>0</v>
      </c>
    </row>
    <row r="618" spans="1:13" ht="31.5" outlineLevel="6">
      <c r="A618" s="19" t="s">
        <v>692</v>
      </c>
      <c r="B618" s="20" t="s">
        <v>239</v>
      </c>
      <c r="C618" s="20" t="s">
        <v>5</v>
      </c>
      <c r="D618" s="20" t="s">
        <v>258</v>
      </c>
      <c r="E618" s="20" t="s">
        <v>70</v>
      </c>
      <c r="F618" s="13">
        <f>'Приложение_7 '!G737</f>
        <v>230386.86</v>
      </c>
      <c r="G618" s="13">
        <f>F618</f>
        <v>230386.86</v>
      </c>
      <c r="I618" s="13">
        <v>230386.86</v>
      </c>
      <c r="J618" s="13">
        <v>230386.86</v>
      </c>
      <c r="L618" s="69">
        <f t="shared" si="16"/>
        <v>0</v>
      </c>
      <c r="M618" s="69">
        <f t="shared" si="17"/>
        <v>0</v>
      </c>
    </row>
    <row r="619" spans="1:13" ht="63" outlineLevel="5">
      <c r="A619" s="19" t="s">
        <v>468</v>
      </c>
      <c r="B619" s="20" t="s">
        <v>239</v>
      </c>
      <c r="C619" s="20" t="s">
        <v>5</v>
      </c>
      <c r="D619" s="20" t="s">
        <v>259</v>
      </c>
      <c r="E619" s="20" t="s">
        <v>1</v>
      </c>
      <c r="F619" s="13">
        <f>F620</f>
        <v>137929228.58</v>
      </c>
      <c r="G619" s="13">
        <f>G620</f>
        <v>137929228.58</v>
      </c>
      <c r="I619" s="13">
        <v>140091428.58</v>
      </c>
      <c r="J619" s="13">
        <v>140091428.58</v>
      </c>
      <c r="L619" s="69">
        <f t="shared" si="16"/>
        <v>-2162200</v>
      </c>
      <c r="M619" s="69">
        <f t="shared" si="17"/>
        <v>-2162200</v>
      </c>
    </row>
    <row r="620" spans="1:13" ht="31.5" outlineLevel="6">
      <c r="A620" s="19" t="s">
        <v>692</v>
      </c>
      <c r="B620" s="20" t="s">
        <v>239</v>
      </c>
      <c r="C620" s="20" t="s">
        <v>5</v>
      </c>
      <c r="D620" s="20" t="s">
        <v>259</v>
      </c>
      <c r="E620" s="20" t="s">
        <v>70</v>
      </c>
      <c r="F620" s="13">
        <f>'Приложение_7 '!G739</f>
        <v>137929228.58</v>
      </c>
      <c r="G620" s="13">
        <f>F620</f>
        <v>137929228.58</v>
      </c>
      <c r="I620" s="13">
        <v>140091428.58</v>
      </c>
      <c r="J620" s="13">
        <v>140091428.58</v>
      </c>
      <c r="L620" s="69">
        <f t="shared" si="16"/>
        <v>-2162200</v>
      </c>
      <c r="M620" s="69">
        <f t="shared" si="17"/>
        <v>-2162200</v>
      </c>
    </row>
    <row r="621" spans="1:13" ht="63" outlineLevel="5">
      <c r="A621" s="19" t="s">
        <v>465</v>
      </c>
      <c r="B621" s="20" t="s">
        <v>239</v>
      </c>
      <c r="C621" s="20" t="s">
        <v>5</v>
      </c>
      <c r="D621" s="20" t="s">
        <v>260</v>
      </c>
      <c r="E621" s="20" t="s">
        <v>1</v>
      </c>
      <c r="F621" s="13">
        <f>F622</f>
        <v>12125.62</v>
      </c>
      <c r="G621" s="2"/>
      <c r="I621" s="13">
        <v>12125.62</v>
      </c>
      <c r="J621" s="2"/>
      <c r="L621" s="69">
        <f t="shared" si="16"/>
        <v>0</v>
      </c>
      <c r="M621" s="69">
        <f t="shared" si="17"/>
        <v>0</v>
      </c>
    </row>
    <row r="622" spans="1:13" ht="31.5" outlineLevel="6">
      <c r="A622" s="19" t="s">
        <v>692</v>
      </c>
      <c r="B622" s="20" t="s">
        <v>239</v>
      </c>
      <c r="C622" s="20" t="s">
        <v>5</v>
      </c>
      <c r="D622" s="20" t="s">
        <v>260</v>
      </c>
      <c r="E622" s="20" t="s">
        <v>70</v>
      </c>
      <c r="F622" s="13">
        <f>'Приложение_7 '!G741</f>
        <v>12125.62</v>
      </c>
      <c r="G622" s="2"/>
      <c r="I622" s="13">
        <v>12125.62</v>
      </c>
      <c r="J622" s="2"/>
      <c r="L622" s="69">
        <f t="shared" si="16"/>
        <v>0</v>
      </c>
      <c r="M622" s="69">
        <f t="shared" si="17"/>
        <v>0</v>
      </c>
    </row>
    <row r="623" spans="1:13" ht="63" outlineLevel="4">
      <c r="A623" s="19" t="s">
        <v>565</v>
      </c>
      <c r="B623" s="20" t="s">
        <v>239</v>
      </c>
      <c r="C623" s="20" t="s">
        <v>5</v>
      </c>
      <c r="D623" s="20" t="s">
        <v>261</v>
      </c>
      <c r="E623" s="20" t="s">
        <v>1</v>
      </c>
      <c r="F623" s="13">
        <f>F624+F626+F628</f>
        <v>178529211.02</v>
      </c>
      <c r="G623" s="13">
        <f>G624+G626+G628</f>
        <v>178515760.55</v>
      </c>
      <c r="I623" s="13">
        <v>178529211.02</v>
      </c>
      <c r="J623" s="13">
        <f>J624+J626</f>
        <v>178515760.55</v>
      </c>
      <c r="L623" s="69">
        <f t="shared" si="16"/>
        <v>0</v>
      </c>
      <c r="M623" s="69">
        <f t="shared" si="17"/>
        <v>0</v>
      </c>
    </row>
    <row r="624" spans="1:13" ht="63" outlineLevel="5">
      <c r="A624" s="19" t="s">
        <v>465</v>
      </c>
      <c r="B624" s="20" t="s">
        <v>239</v>
      </c>
      <c r="C624" s="20" t="s">
        <v>5</v>
      </c>
      <c r="D624" s="20" t="s">
        <v>262</v>
      </c>
      <c r="E624" s="20" t="s">
        <v>1</v>
      </c>
      <c r="F624" s="13">
        <f>F625</f>
        <v>255558.84</v>
      </c>
      <c r="G624" s="13">
        <f>G625</f>
        <v>255558.84</v>
      </c>
      <c r="I624" s="13">
        <v>255558.84</v>
      </c>
      <c r="J624" s="13">
        <v>255558.84</v>
      </c>
      <c r="L624" s="69">
        <f t="shared" si="16"/>
        <v>0</v>
      </c>
      <c r="M624" s="69">
        <f t="shared" si="17"/>
        <v>0</v>
      </c>
    </row>
    <row r="625" spans="1:13" ht="31.5" outlineLevel="6">
      <c r="A625" s="19" t="s">
        <v>692</v>
      </c>
      <c r="B625" s="20" t="s">
        <v>239</v>
      </c>
      <c r="C625" s="20" t="s">
        <v>5</v>
      </c>
      <c r="D625" s="20" t="s">
        <v>262</v>
      </c>
      <c r="E625" s="20" t="s">
        <v>70</v>
      </c>
      <c r="F625" s="13">
        <f>'Приложение_7 '!G744</f>
        <v>255558.84</v>
      </c>
      <c r="G625" s="13">
        <f>F625</f>
        <v>255558.84</v>
      </c>
      <c r="I625" s="13">
        <v>255558.84</v>
      </c>
      <c r="J625" s="13">
        <v>255558.84</v>
      </c>
      <c r="L625" s="69">
        <f t="shared" si="16"/>
        <v>0</v>
      </c>
      <c r="M625" s="69">
        <f t="shared" si="17"/>
        <v>0</v>
      </c>
    </row>
    <row r="626" spans="1:13" ht="63" outlineLevel="5">
      <c r="A626" s="19" t="s">
        <v>468</v>
      </c>
      <c r="B626" s="20" t="s">
        <v>239</v>
      </c>
      <c r="C626" s="20" t="s">
        <v>5</v>
      </c>
      <c r="D626" s="20" t="s">
        <v>263</v>
      </c>
      <c r="E626" s="20" t="s">
        <v>1</v>
      </c>
      <c r="F626" s="13">
        <f>F627</f>
        <v>178260201.71</v>
      </c>
      <c r="G626" s="13">
        <f>G627</f>
        <v>178260201.71</v>
      </c>
      <c r="I626" s="13">
        <v>178260201.71</v>
      </c>
      <c r="J626" s="13">
        <v>178260201.71</v>
      </c>
      <c r="L626" s="69">
        <f t="shared" si="16"/>
        <v>0</v>
      </c>
      <c r="M626" s="69">
        <f t="shared" si="17"/>
        <v>0</v>
      </c>
    </row>
    <row r="627" spans="1:13" ht="31.5" outlineLevel="6">
      <c r="A627" s="19" t="s">
        <v>692</v>
      </c>
      <c r="B627" s="20" t="s">
        <v>239</v>
      </c>
      <c r="C627" s="20" t="s">
        <v>5</v>
      </c>
      <c r="D627" s="20" t="s">
        <v>263</v>
      </c>
      <c r="E627" s="20" t="s">
        <v>70</v>
      </c>
      <c r="F627" s="13">
        <f>'Приложение_7 '!G746</f>
        <v>178260201.71</v>
      </c>
      <c r="G627" s="13">
        <f>F627</f>
        <v>178260201.71</v>
      </c>
      <c r="I627" s="13">
        <v>178260201.71</v>
      </c>
      <c r="J627" s="13">
        <v>178260201.71</v>
      </c>
      <c r="L627" s="69">
        <f t="shared" si="16"/>
        <v>0</v>
      </c>
      <c r="M627" s="69">
        <f t="shared" si="17"/>
        <v>0</v>
      </c>
    </row>
    <row r="628" spans="1:13" ht="63" outlineLevel="5">
      <c r="A628" s="19" t="s">
        <v>465</v>
      </c>
      <c r="B628" s="20" t="s">
        <v>239</v>
      </c>
      <c r="C628" s="20" t="s">
        <v>5</v>
      </c>
      <c r="D628" s="20" t="s">
        <v>264</v>
      </c>
      <c r="E628" s="20" t="s">
        <v>1</v>
      </c>
      <c r="F628" s="13">
        <f>F629</f>
        <v>13450.47</v>
      </c>
      <c r="G628" s="2"/>
      <c r="I628" s="13">
        <v>13450.47</v>
      </c>
      <c r="J628" s="2"/>
      <c r="L628" s="69">
        <f t="shared" si="16"/>
        <v>0</v>
      </c>
      <c r="M628" s="69">
        <f t="shared" si="17"/>
        <v>0</v>
      </c>
    </row>
    <row r="629" spans="1:13" ht="31.5" outlineLevel="6">
      <c r="A629" s="19" t="s">
        <v>692</v>
      </c>
      <c r="B629" s="20" t="s">
        <v>239</v>
      </c>
      <c r="C629" s="20" t="s">
        <v>5</v>
      </c>
      <c r="D629" s="20" t="s">
        <v>264</v>
      </c>
      <c r="E629" s="20" t="s">
        <v>70</v>
      </c>
      <c r="F629" s="13">
        <f>'Приложение_7 '!G748</f>
        <v>13450.47</v>
      </c>
      <c r="G629" s="2"/>
      <c r="I629" s="13">
        <v>13450.47</v>
      </c>
      <c r="J629" s="2"/>
      <c r="L629" s="69">
        <f t="shared" si="16"/>
        <v>0</v>
      </c>
      <c r="M629" s="69">
        <f t="shared" si="17"/>
        <v>0</v>
      </c>
    </row>
    <row r="630" spans="1:13" ht="63" outlineLevel="4">
      <c r="A630" s="19" t="s">
        <v>566</v>
      </c>
      <c r="B630" s="20" t="s">
        <v>239</v>
      </c>
      <c r="C630" s="20" t="s">
        <v>5</v>
      </c>
      <c r="D630" s="20" t="s">
        <v>265</v>
      </c>
      <c r="E630" s="20" t="s">
        <v>1</v>
      </c>
      <c r="F630" s="13">
        <f>F631</f>
        <v>34687169.71</v>
      </c>
      <c r="G630" s="13">
        <f>G631</f>
        <v>34687169.71</v>
      </c>
      <c r="I630" s="13">
        <v>34687169.71</v>
      </c>
      <c r="J630" s="13">
        <v>34687169.71</v>
      </c>
      <c r="L630" s="69">
        <f t="shared" si="16"/>
        <v>0</v>
      </c>
      <c r="M630" s="69">
        <f t="shared" si="17"/>
        <v>0</v>
      </c>
    </row>
    <row r="631" spans="1:13" ht="63" outlineLevel="5">
      <c r="A631" s="19" t="s">
        <v>468</v>
      </c>
      <c r="B631" s="20" t="s">
        <v>239</v>
      </c>
      <c r="C631" s="20" t="s">
        <v>5</v>
      </c>
      <c r="D631" s="20" t="s">
        <v>266</v>
      </c>
      <c r="E631" s="20" t="s">
        <v>1</v>
      </c>
      <c r="F631" s="13">
        <f>F632</f>
        <v>34687169.71</v>
      </c>
      <c r="G631" s="13">
        <f>G632</f>
        <v>34687169.71</v>
      </c>
      <c r="I631" s="13">
        <v>34687169.71</v>
      </c>
      <c r="J631" s="13">
        <v>34687169.71</v>
      </c>
      <c r="L631" s="69">
        <f t="shared" si="16"/>
        <v>0</v>
      </c>
      <c r="M631" s="69">
        <f t="shared" si="17"/>
        <v>0</v>
      </c>
    </row>
    <row r="632" spans="1:13" ht="31.5" outlineLevel="6">
      <c r="A632" s="19" t="s">
        <v>692</v>
      </c>
      <c r="B632" s="20" t="s">
        <v>239</v>
      </c>
      <c r="C632" s="20" t="s">
        <v>5</v>
      </c>
      <c r="D632" s="20" t="s">
        <v>266</v>
      </c>
      <c r="E632" s="20" t="s">
        <v>70</v>
      </c>
      <c r="F632" s="13">
        <f>'Приложение_7 '!G751</f>
        <v>34687169.71</v>
      </c>
      <c r="G632" s="13">
        <f>F632</f>
        <v>34687169.71</v>
      </c>
      <c r="I632" s="13">
        <v>34687169.71</v>
      </c>
      <c r="J632" s="13">
        <v>34687169.71</v>
      </c>
      <c r="L632" s="69">
        <f t="shared" si="16"/>
        <v>0</v>
      </c>
      <c r="M632" s="69">
        <f t="shared" si="17"/>
        <v>0</v>
      </c>
    </row>
    <row r="633" spans="1:13" ht="78.75" outlineLevel="4">
      <c r="A633" s="19" t="s">
        <v>567</v>
      </c>
      <c r="B633" s="20" t="s">
        <v>239</v>
      </c>
      <c r="C633" s="20" t="s">
        <v>5</v>
      </c>
      <c r="D633" s="20" t="s">
        <v>267</v>
      </c>
      <c r="E633" s="20" t="s">
        <v>1</v>
      </c>
      <c r="F633" s="13">
        <f>F634</f>
        <v>103908566.72</v>
      </c>
      <c r="G633" s="2"/>
      <c r="I633" s="13">
        <v>101563041.91</v>
      </c>
      <c r="J633" s="2"/>
      <c r="L633" s="69">
        <f aca="true" t="shared" si="18" ref="L633:L711">F633-I633</f>
        <v>2345524.8100000024</v>
      </c>
      <c r="M633" s="69">
        <f aca="true" t="shared" si="19" ref="M633:M711">G633-J633</f>
        <v>0</v>
      </c>
    </row>
    <row r="634" spans="1:13" ht="63" outlineLevel="5">
      <c r="A634" s="19" t="s">
        <v>443</v>
      </c>
      <c r="B634" s="20" t="s">
        <v>239</v>
      </c>
      <c r="C634" s="20" t="s">
        <v>5</v>
      </c>
      <c r="D634" s="20" t="s">
        <v>268</v>
      </c>
      <c r="E634" s="20" t="s">
        <v>1</v>
      </c>
      <c r="F634" s="13">
        <f>F635</f>
        <v>103908566.72</v>
      </c>
      <c r="G634" s="2"/>
      <c r="I634" s="13">
        <v>101563041.91</v>
      </c>
      <c r="J634" s="2"/>
      <c r="L634" s="69">
        <f t="shared" si="18"/>
        <v>2345524.8100000024</v>
      </c>
      <c r="M634" s="69">
        <f t="shared" si="19"/>
        <v>0</v>
      </c>
    </row>
    <row r="635" spans="1:13" ht="31.5" outlineLevel="6">
      <c r="A635" s="19" t="s">
        <v>692</v>
      </c>
      <c r="B635" s="20" t="s">
        <v>239</v>
      </c>
      <c r="C635" s="20" t="s">
        <v>5</v>
      </c>
      <c r="D635" s="20" t="s">
        <v>268</v>
      </c>
      <c r="E635" s="20" t="s">
        <v>70</v>
      </c>
      <c r="F635" s="13">
        <f>'Приложение_7 '!G754</f>
        <v>103908566.72</v>
      </c>
      <c r="G635" s="2"/>
      <c r="I635" s="13">
        <v>101563041.91</v>
      </c>
      <c r="J635" s="2"/>
      <c r="L635" s="69">
        <f t="shared" si="18"/>
        <v>2345524.8100000024</v>
      </c>
      <c r="M635" s="69">
        <f t="shared" si="19"/>
        <v>0</v>
      </c>
    </row>
    <row r="636" spans="1:13" ht="15.75" outlineLevel="4">
      <c r="A636" s="19" t="s">
        <v>560</v>
      </c>
      <c r="B636" s="20" t="s">
        <v>239</v>
      </c>
      <c r="C636" s="20" t="s">
        <v>5</v>
      </c>
      <c r="D636" s="20" t="s">
        <v>269</v>
      </c>
      <c r="E636" s="20" t="s">
        <v>1</v>
      </c>
      <c r="F636" s="13">
        <f>F637</f>
        <v>6239369.57</v>
      </c>
      <c r="G636" s="2"/>
      <c r="I636" s="13">
        <v>6857011</v>
      </c>
      <c r="J636" s="2"/>
      <c r="L636" s="69">
        <f t="shared" si="18"/>
        <v>-617641.4299999997</v>
      </c>
      <c r="M636" s="69">
        <f t="shared" si="19"/>
        <v>0</v>
      </c>
    </row>
    <row r="637" spans="1:13" ht="63" outlineLevel="5">
      <c r="A637" s="19" t="s">
        <v>432</v>
      </c>
      <c r="B637" s="20" t="s">
        <v>239</v>
      </c>
      <c r="C637" s="20" t="s">
        <v>5</v>
      </c>
      <c r="D637" s="20" t="s">
        <v>270</v>
      </c>
      <c r="E637" s="20" t="s">
        <v>1</v>
      </c>
      <c r="F637" s="13">
        <f>F638</f>
        <v>6239369.57</v>
      </c>
      <c r="G637" s="2"/>
      <c r="I637" s="13">
        <v>6857011</v>
      </c>
      <c r="J637" s="2"/>
      <c r="L637" s="69">
        <f t="shared" si="18"/>
        <v>-617641.4299999997</v>
      </c>
      <c r="M637" s="69">
        <f t="shared" si="19"/>
        <v>0</v>
      </c>
    </row>
    <row r="638" spans="1:13" ht="31.5" outlineLevel="6">
      <c r="A638" s="19" t="s">
        <v>692</v>
      </c>
      <c r="B638" s="20" t="s">
        <v>239</v>
      </c>
      <c r="C638" s="20" t="s">
        <v>5</v>
      </c>
      <c r="D638" s="20" t="s">
        <v>270</v>
      </c>
      <c r="E638" s="20" t="s">
        <v>70</v>
      </c>
      <c r="F638" s="13">
        <f>'Приложение_7 '!G757</f>
        <v>6239369.57</v>
      </c>
      <c r="G638" s="2"/>
      <c r="I638" s="13">
        <v>6857011</v>
      </c>
      <c r="J638" s="2"/>
      <c r="L638" s="69">
        <f t="shared" si="18"/>
        <v>-617641.4299999997</v>
      </c>
      <c r="M638" s="69">
        <f t="shared" si="19"/>
        <v>0</v>
      </c>
    </row>
    <row r="639" spans="1:13" ht="47.25" outlineLevel="3">
      <c r="A639" s="42" t="s">
        <v>637</v>
      </c>
      <c r="B639" s="43" t="s">
        <v>239</v>
      </c>
      <c r="C639" s="43" t="s">
        <v>5</v>
      </c>
      <c r="D639" s="43" t="s">
        <v>249</v>
      </c>
      <c r="E639" s="43" t="s">
        <v>1</v>
      </c>
      <c r="F639" s="12">
        <f>F645+F640+F648</f>
        <v>8984211.74</v>
      </c>
      <c r="G639" s="1"/>
      <c r="I639" s="12">
        <v>3617636</v>
      </c>
      <c r="J639" s="1"/>
      <c r="L639" s="69">
        <f t="shared" si="18"/>
        <v>5366575.74</v>
      </c>
      <c r="M639" s="69">
        <f t="shared" si="19"/>
        <v>0</v>
      </c>
    </row>
    <row r="640" spans="1:13" ht="47.25" outlineLevel="3">
      <c r="A640" s="36" t="s">
        <v>585</v>
      </c>
      <c r="B640" s="37" t="s">
        <v>239</v>
      </c>
      <c r="C640" s="37" t="s">
        <v>5</v>
      </c>
      <c r="D640" s="37" t="s">
        <v>415</v>
      </c>
      <c r="E640" s="37" t="s">
        <v>1</v>
      </c>
      <c r="F640" s="38">
        <f>F641+F643</f>
        <v>4618382.74</v>
      </c>
      <c r="G640" s="1"/>
      <c r="I640" s="12"/>
      <c r="J640" s="1"/>
      <c r="L640" s="69"/>
      <c r="M640" s="69"/>
    </row>
    <row r="641" spans="1:13" ht="31.5" outlineLevel="3">
      <c r="A641" s="36" t="s">
        <v>456</v>
      </c>
      <c r="B641" s="37" t="s">
        <v>239</v>
      </c>
      <c r="C641" s="37" t="s">
        <v>5</v>
      </c>
      <c r="D641" s="37" t="s">
        <v>890</v>
      </c>
      <c r="E641" s="37" t="s">
        <v>1</v>
      </c>
      <c r="F641" s="38">
        <f>F642</f>
        <v>4566178.74</v>
      </c>
      <c r="G641" s="1"/>
      <c r="I641" s="12"/>
      <c r="J641" s="1"/>
      <c r="L641" s="69"/>
      <c r="M641" s="69"/>
    </row>
    <row r="642" spans="1:13" ht="31.5" outlineLevel="3">
      <c r="A642" s="36" t="s">
        <v>692</v>
      </c>
      <c r="B642" s="37" t="s">
        <v>239</v>
      </c>
      <c r="C642" s="37" t="s">
        <v>5</v>
      </c>
      <c r="D642" s="37" t="s">
        <v>890</v>
      </c>
      <c r="E642" s="37" t="s">
        <v>70</v>
      </c>
      <c r="F642" s="38">
        <f>'Приложение_7 '!G761</f>
        <v>4566178.74</v>
      </c>
      <c r="G642" s="1"/>
      <c r="I642" s="12"/>
      <c r="J642" s="1"/>
      <c r="L642" s="69"/>
      <c r="M642" s="69"/>
    </row>
    <row r="643" spans="1:13" ht="31.5" outlineLevel="3">
      <c r="A643" s="36" t="s">
        <v>441</v>
      </c>
      <c r="B643" s="37" t="s">
        <v>239</v>
      </c>
      <c r="C643" s="37" t="s">
        <v>5</v>
      </c>
      <c r="D643" s="37" t="s">
        <v>947</v>
      </c>
      <c r="E643" s="37" t="s">
        <v>1</v>
      </c>
      <c r="F643" s="38">
        <f>F644</f>
        <v>52204</v>
      </c>
      <c r="G643" s="1"/>
      <c r="I643" s="12"/>
      <c r="J643" s="1"/>
      <c r="L643" s="69"/>
      <c r="M643" s="69"/>
    </row>
    <row r="644" spans="1:13" ht="31.5" outlineLevel="3">
      <c r="A644" s="36" t="s">
        <v>692</v>
      </c>
      <c r="B644" s="37" t="s">
        <v>239</v>
      </c>
      <c r="C644" s="37" t="s">
        <v>5</v>
      </c>
      <c r="D644" s="37" t="s">
        <v>947</v>
      </c>
      <c r="E644" s="37" t="s">
        <v>70</v>
      </c>
      <c r="F644" s="38">
        <f>'Приложение_7 '!G763</f>
        <v>52204</v>
      </c>
      <c r="G644" s="1"/>
      <c r="I644" s="12"/>
      <c r="J644" s="1"/>
      <c r="L644" s="69"/>
      <c r="M644" s="69"/>
    </row>
    <row r="645" spans="1:13" ht="15.75" outlineLevel="4">
      <c r="A645" s="19" t="s">
        <v>568</v>
      </c>
      <c r="B645" s="20" t="s">
        <v>239</v>
      </c>
      <c r="C645" s="20" t="s">
        <v>5</v>
      </c>
      <c r="D645" s="20" t="s">
        <v>271</v>
      </c>
      <c r="E645" s="20" t="s">
        <v>1</v>
      </c>
      <c r="F645" s="13">
        <f>F646</f>
        <v>3617636</v>
      </c>
      <c r="G645" s="2"/>
      <c r="I645" s="13">
        <v>3617636</v>
      </c>
      <c r="J645" s="2"/>
      <c r="L645" s="69">
        <f t="shared" si="18"/>
        <v>0</v>
      </c>
      <c r="M645" s="69">
        <f t="shared" si="19"/>
        <v>0</v>
      </c>
    </row>
    <row r="646" spans="1:13" ht="31.5" outlineLevel="5">
      <c r="A646" s="19" t="s">
        <v>441</v>
      </c>
      <c r="B646" s="20" t="s">
        <v>239</v>
      </c>
      <c r="C646" s="20" t="s">
        <v>5</v>
      </c>
      <c r="D646" s="20" t="s">
        <v>272</v>
      </c>
      <c r="E646" s="20" t="s">
        <v>1</v>
      </c>
      <c r="F646" s="13">
        <f>F647</f>
        <v>3617636</v>
      </c>
      <c r="G646" s="2"/>
      <c r="I646" s="13">
        <v>3617636</v>
      </c>
      <c r="J646" s="2"/>
      <c r="L646" s="69">
        <f t="shared" si="18"/>
        <v>0</v>
      </c>
      <c r="M646" s="69">
        <f t="shared" si="19"/>
        <v>0</v>
      </c>
    </row>
    <row r="647" spans="1:13" ht="31.5" outlineLevel="6">
      <c r="A647" s="19" t="s">
        <v>692</v>
      </c>
      <c r="B647" s="20" t="s">
        <v>239</v>
      </c>
      <c r="C647" s="20" t="s">
        <v>5</v>
      </c>
      <c r="D647" s="20" t="s">
        <v>272</v>
      </c>
      <c r="E647" s="20" t="s">
        <v>70</v>
      </c>
      <c r="F647" s="13">
        <f>'Приложение_7 '!G766</f>
        <v>3617636</v>
      </c>
      <c r="G647" s="2"/>
      <c r="I647" s="13">
        <v>3617636</v>
      </c>
      <c r="J647" s="2"/>
      <c r="L647" s="69">
        <f t="shared" si="18"/>
        <v>0</v>
      </c>
      <c r="M647" s="69">
        <f t="shared" si="19"/>
        <v>0</v>
      </c>
    </row>
    <row r="648" spans="1:13" ht="47.25" outlineLevel="6">
      <c r="A648" s="36" t="s">
        <v>563</v>
      </c>
      <c r="B648" s="37" t="s">
        <v>239</v>
      </c>
      <c r="C648" s="37" t="s">
        <v>5</v>
      </c>
      <c r="D648" s="37" t="s">
        <v>254</v>
      </c>
      <c r="E648" s="37" t="s">
        <v>1</v>
      </c>
      <c r="F648" s="13">
        <f>F649+F651</f>
        <v>748193</v>
      </c>
      <c r="G648" s="2"/>
      <c r="I648" s="13"/>
      <c r="J648" s="2"/>
      <c r="L648" s="69"/>
      <c r="M648" s="69"/>
    </row>
    <row r="649" spans="1:13" ht="31.5" outlineLevel="6">
      <c r="A649" s="36" t="s">
        <v>456</v>
      </c>
      <c r="B649" s="37" t="s">
        <v>239</v>
      </c>
      <c r="C649" s="37" t="s">
        <v>5</v>
      </c>
      <c r="D649" s="37" t="s">
        <v>416</v>
      </c>
      <c r="E649" s="37" t="s">
        <v>1</v>
      </c>
      <c r="F649" s="13">
        <f>F650</f>
        <v>645519.8200000001</v>
      </c>
      <c r="G649" s="2"/>
      <c r="I649" s="13"/>
      <c r="J649" s="2"/>
      <c r="L649" s="69"/>
      <c r="M649" s="69"/>
    </row>
    <row r="650" spans="1:13" ht="31.5" outlineLevel="6">
      <c r="A650" s="36" t="s">
        <v>692</v>
      </c>
      <c r="B650" s="37" t="s">
        <v>239</v>
      </c>
      <c r="C650" s="37" t="s">
        <v>5</v>
      </c>
      <c r="D650" s="37" t="s">
        <v>416</v>
      </c>
      <c r="E650" s="37" t="s">
        <v>70</v>
      </c>
      <c r="F650" s="13">
        <f>'Приложение_7 '!G769</f>
        <v>645519.8200000001</v>
      </c>
      <c r="G650" s="2"/>
      <c r="I650" s="13"/>
      <c r="J650" s="2"/>
      <c r="L650" s="69"/>
      <c r="M650" s="69"/>
    </row>
    <row r="651" spans="1:13" ht="31.5" outlineLevel="6">
      <c r="A651" s="36" t="s">
        <v>441</v>
      </c>
      <c r="B651" s="37" t="s">
        <v>239</v>
      </c>
      <c r="C651" s="37" t="s">
        <v>5</v>
      </c>
      <c r="D651" s="37" t="s">
        <v>255</v>
      </c>
      <c r="E651" s="37" t="s">
        <v>1</v>
      </c>
      <c r="F651" s="13">
        <f>F652</f>
        <v>102673.18</v>
      </c>
      <c r="G651" s="2"/>
      <c r="I651" s="13"/>
      <c r="J651" s="2"/>
      <c r="L651" s="69"/>
      <c r="M651" s="69"/>
    </row>
    <row r="652" spans="1:13" ht="31.5" outlineLevel="6">
      <c r="A652" s="36" t="s">
        <v>692</v>
      </c>
      <c r="B652" s="37" t="s">
        <v>239</v>
      </c>
      <c r="C652" s="37" t="s">
        <v>5</v>
      </c>
      <c r="D652" s="37" t="s">
        <v>255</v>
      </c>
      <c r="E652" s="37" t="s">
        <v>70</v>
      </c>
      <c r="F652" s="13">
        <f>'Приложение_7 '!G771</f>
        <v>102673.18</v>
      </c>
      <c r="G652" s="2"/>
      <c r="I652" s="13"/>
      <c r="J652" s="2"/>
      <c r="L652" s="69"/>
      <c r="M652" s="69"/>
    </row>
    <row r="653" spans="1:13" ht="31.5" outlineLevel="2">
      <c r="A653" s="42" t="s">
        <v>655</v>
      </c>
      <c r="B653" s="43" t="s">
        <v>239</v>
      </c>
      <c r="C653" s="43" t="s">
        <v>5</v>
      </c>
      <c r="D653" s="43" t="s">
        <v>90</v>
      </c>
      <c r="E653" s="43" t="s">
        <v>1</v>
      </c>
      <c r="F653" s="12">
        <f>F654</f>
        <v>1063952</v>
      </c>
      <c r="G653" s="1"/>
      <c r="I653" s="12">
        <v>963400</v>
      </c>
      <c r="J653" s="1"/>
      <c r="L653" s="69">
        <f t="shared" si="18"/>
        <v>100552</v>
      </c>
      <c r="M653" s="69">
        <f t="shared" si="19"/>
        <v>0</v>
      </c>
    </row>
    <row r="654" spans="1:13" ht="47.25" outlineLevel="3">
      <c r="A654" s="42" t="s">
        <v>620</v>
      </c>
      <c r="B654" s="43" t="s">
        <v>239</v>
      </c>
      <c r="C654" s="43" t="s">
        <v>5</v>
      </c>
      <c r="D654" s="43" t="s">
        <v>91</v>
      </c>
      <c r="E654" s="43" t="s">
        <v>1</v>
      </c>
      <c r="F654" s="12">
        <f>F655</f>
        <v>1063952</v>
      </c>
      <c r="G654" s="1"/>
      <c r="I654" s="12">
        <v>963400</v>
      </c>
      <c r="J654" s="1"/>
      <c r="L654" s="69">
        <f t="shared" si="18"/>
        <v>100552</v>
      </c>
      <c r="M654" s="69">
        <f t="shared" si="19"/>
        <v>0</v>
      </c>
    </row>
    <row r="655" spans="1:13" ht="31.5" outlineLevel="4">
      <c r="A655" s="19" t="s">
        <v>510</v>
      </c>
      <c r="B655" s="20" t="s">
        <v>239</v>
      </c>
      <c r="C655" s="20" t="s">
        <v>5</v>
      </c>
      <c r="D655" s="20" t="s">
        <v>100</v>
      </c>
      <c r="E655" s="20" t="s">
        <v>1</v>
      </c>
      <c r="F655" s="13">
        <f>F656</f>
        <v>1063952</v>
      </c>
      <c r="G655" s="2"/>
      <c r="I655" s="13">
        <v>963400</v>
      </c>
      <c r="J655" s="2"/>
      <c r="L655" s="69">
        <f t="shared" si="18"/>
        <v>100552</v>
      </c>
      <c r="M655" s="69">
        <f t="shared" si="19"/>
        <v>0</v>
      </c>
    </row>
    <row r="656" spans="1:13" ht="31.5" outlineLevel="5">
      <c r="A656" s="19" t="s">
        <v>441</v>
      </c>
      <c r="B656" s="20" t="s">
        <v>239</v>
      </c>
      <c r="C656" s="20" t="s">
        <v>5</v>
      </c>
      <c r="D656" s="20" t="s">
        <v>101</v>
      </c>
      <c r="E656" s="20" t="s">
        <v>1</v>
      </c>
      <c r="F656" s="13">
        <f>F657</f>
        <v>1063952</v>
      </c>
      <c r="G656" s="2"/>
      <c r="I656" s="13">
        <v>963400</v>
      </c>
      <c r="J656" s="2"/>
      <c r="L656" s="69">
        <f t="shared" si="18"/>
        <v>100552</v>
      </c>
      <c r="M656" s="69">
        <f t="shared" si="19"/>
        <v>0</v>
      </c>
    </row>
    <row r="657" spans="1:13" ht="31.5" outlineLevel="6">
      <c r="A657" s="19" t="s">
        <v>692</v>
      </c>
      <c r="B657" s="20" t="s">
        <v>239</v>
      </c>
      <c r="C657" s="20" t="s">
        <v>5</v>
      </c>
      <c r="D657" s="20" t="s">
        <v>101</v>
      </c>
      <c r="E657" s="20" t="s">
        <v>70</v>
      </c>
      <c r="F657" s="13">
        <f>'Приложение_7 '!G776</f>
        <v>1063952</v>
      </c>
      <c r="G657" s="2"/>
      <c r="I657" s="13">
        <v>963400</v>
      </c>
      <c r="J657" s="2"/>
      <c r="L657" s="69">
        <f t="shared" si="18"/>
        <v>100552</v>
      </c>
      <c r="M657" s="69">
        <f t="shared" si="19"/>
        <v>0</v>
      </c>
    </row>
    <row r="658" spans="1:13" s="68" customFormat="1" ht="24.75" customHeight="1" outlineLevel="1">
      <c r="A658" s="42" t="s">
        <v>678</v>
      </c>
      <c r="B658" s="43" t="s">
        <v>239</v>
      </c>
      <c r="C658" s="43" t="s">
        <v>14</v>
      </c>
      <c r="D658" s="43" t="s">
        <v>4</v>
      </c>
      <c r="E658" s="43" t="s">
        <v>1</v>
      </c>
      <c r="F658" s="12">
        <f>F659+F683+F702</f>
        <v>277117747.51</v>
      </c>
      <c r="G658" s="12">
        <f>G659+G683+G702</f>
        <v>6775807.190000001</v>
      </c>
      <c r="I658" s="12">
        <v>280236885.57</v>
      </c>
      <c r="J658" s="1">
        <f>J659+J683</f>
        <v>6634616</v>
      </c>
      <c r="L658" s="69">
        <f t="shared" si="18"/>
        <v>-3119138.0600000024</v>
      </c>
      <c r="M658" s="69">
        <f t="shared" si="19"/>
        <v>141191.19000000134</v>
      </c>
    </row>
    <row r="659" spans="1:13" ht="31.5" outlineLevel="2">
      <c r="A659" s="42" t="s">
        <v>653</v>
      </c>
      <c r="B659" s="43" t="s">
        <v>239</v>
      </c>
      <c r="C659" s="43" t="s">
        <v>14</v>
      </c>
      <c r="D659" s="43" t="s">
        <v>23</v>
      </c>
      <c r="E659" s="43" t="s">
        <v>1</v>
      </c>
      <c r="F659" s="12">
        <f>F660+F671</f>
        <v>211079989.35</v>
      </c>
      <c r="G659" s="12">
        <f>G660+G671</f>
        <v>5986202.630000001</v>
      </c>
      <c r="I659" s="12">
        <v>214209908.44</v>
      </c>
      <c r="J659" s="1">
        <f>J660</f>
        <v>5845011.44</v>
      </c>
      <c r="L659" s="69">
        <f t="shared" si="18"/>
        <v>-3129919.0900000036</v>
      </c>
      <c r="M659" s="69">
        <f t="shared" si="19"/>
        <v>141191.1900000004</v>
      </c>
    </row>
    <row r="660" spans="1:13" ht="47.25" outlineLevel="3">
      <c r="A660" s="42" t="s">
        <v>638</v>
      </c>
      <c r="B660" s="43" t="s">
        <v>239</v>
      </c>
      <c r="C660" s="43" t="s">
        <v>14</v>
      </c>
      <c r="D660" s="43" t="s">
        <v>256</v>
      </c>
      <c r="E660" s="43" t="s">
        <v>1</v>
      </c>
      <c r="F660" s="12">
        <f>F661+F668</f>
        <v>209074567.15</v>
      </c>
      <c r="G660" s="12">
        <f>G661+G668</f>
        <v>5986202.630000001</v>
      </c>
      <c r="I660" s="12">
        <v>213276171.44</v>
      </c>
      <c r="J660" s="1">
        <f>J661</f>
        <v>5845011.44</v>
      </c>
      <c r="L660" s="69">
        <f t="shared" si="18"/>
        <v>-4201604.289999992</v>
      </c>
      <c r="M660" s="69">
        <f t="shared" si="19"/>
        <v>141191.1900000004</v>
      </c>
    </row>
    <row r="661" spans="1:13" ht="31.5" outlineLevel="4">
      <c r="A661" s="19" t="s">
        <v>569</v>
      </c>
      <c r="B661" s="20" t="s">
        <v>239</v>
      </c>
      <c r="C661" s="20" t="s">
        <v>14</v>
      </c>
      <c r="D661" s="20" t="s">
        <v>273</v>
      </c>
      <c r="E661" s="20" t="s">
        <v>1</v>
      </c>
      <c r="F661" s="13">
        <f>F662+F664+F666</f>
        <v>205902473.75</v>
      </c>
      <c r="G661" s="13">
        <f>G662+G664+G666</f>
        <v>5986202.630000001</v>
      </c>
      <c r="I661" s="13">
        <v>209853851.44</v>
      </c>
      <c r="J661" s="2">
        <f>J664</f>
        <v>5845011.44</v>
      </c>
      <c r="L661" s="69">
        <f t="shared" si="18"/>
        <v>-3951377.6899999976</v>
      </c>
      <c r="M661" s="69">
        <f t="shared" si="19"/>
        <v>141191.1900000004</v>
      </c>
    </row>
    <row r="662" spans="1:13" ht="63" outlineLevel="5">
      <c r="A662" s="19" t="s">
        <v>443</v>
      </c>
      <c r="B662" s="20" t="s">
        <v>239</v>
      </c>
      <c r="C662" s="20" t="s">
        <v>14</v>
      </c>
      <c r="D662" s="20" t="s">
        <v>274</v>
      </c>
      <c r="E662" s="20" t="s">
        <v>1</v>
      </c>
      <c r="F662" s="13">
        <f>F663</f>
        <v>196950490</v>
      </c>
      <c r="G662" s="2"/>
      <c r="I662" s="13">
        <v>201050490</v>
      </c>
      <c r="J662" s="2"/>
      <c r="L662" s="69">
        <f t="shared" si="18"/>
        <v>-4100000</v>
      </c>
      <c r="M662" s="69">
        <f t="shared" si="19"/>
        <v>0</v>
      </c>
    </row>
    <row r="663" spans="1:13" ht="31.5" outlineLevel="6">
      <c r="A663" s="19" t="s">
        <v>692</v>
      </c>
      <c r="B663" s="20" t="s">
        <v>239</v>
      </c>
      <c r="C663" s="20" t="s">
        <v>14</v>
      </c>
      <c r="D663" s="20" t="s">
        <v>274</v>
      </c>
      <c r="E663" s="20" t="s">
        <v>70</v>
      </c>
      <c r="F663" s="13">
        <f>'Приложение_7 '!G782</f>
        <v>196950490</v>
      </c>
      <c r="G663" s="2"/>
      <c r="I663" s="13">
        <v>201050490</v>
      </c>
      <c r="J663" s="2"/>
      <c r="L663" s="69">
        <f t="shared" si="18"/>
        <v>-4100000</v>
      </c>
      <c r="M663" s="69">
        <f t="shared" si="19"/>
        <v>0</v>
      </c>
    </row>
    <row r="664" spans="1:13" ht="63" outlineLevel="5">
      <c r="A664" s="19" t="s">
        <v>465</v>
      </c>
      <c r="B664" s="20" t="s">
        <v>239</v>
      </c>
      <c r="C664" s="20" t="s">
        <v>14</v>
      </c>
      <c r="D664" s="20" t="s">
        <v>275</v>
      </c>
      <c r="E664" s="20" t="s">
        <v>1</v>
      </c>
      <c r="F664" s="13">
        <f>F665</f>
        <v>5986202.630000001</v>
      </c>
      <c r="G664" s="13">
        <f>G665</f>
        <v>5986202.630000001</v>
      </c>
      <c r="I664" s="13">
        <v>5845011.44</v>
      </c>
      <c r="J664" s="13">
        <v>5845011.44</v>
      </c>
      <c r="L664" s="69">
        <f t="shared" si="18"/>
        <v>141191.1900000004</v>
      </c>
      <c r="M664" s="69">
        <f t="shared" si="19"/>
        <v>141191.1900000004</v>
      </c>
    </row>
    <row r="665" spans="1:13" ht="31.5" outlineLevel="6">
      <c r="A665" s="19" t="s">
        <v>692</v>
      </c>
      <c r="B665" s="20" t="s">
        <v>239</v>
      </c>
      <c r="C665" s="20" t="s">
        <v>14</v>
      </c>
      <c r="D665" s="20" t="s">
        <v>275</v>
      </c>
      <c r="E665" s="20" t="s">
        <v>70</v>
      </c>
      <c r="F665" s="13">
        <f>'Приложение_7 '!G784</f>
        <v>5986202.630000001</v>
      </c>
      <c r="G665" s="13">
        <f>F665</f>
        <v>5986202.630000001</v>
      </c>
      <c r="I665" s="13">
        <v>5845011.44</v>
      </c>
      <c r="J665" s="13">
        <v>5845011.44</v>
      </c>
      <c r="L665" s="69">
        <f t="shared" si="18"/>
        <v>141191.1900000004</v>
      </c>
      <c r="M665" s="69">
        <f t="shared" si="19"/>
        <v>141191.1900000004</v>
      </c>
    </row>
    <row r="666" spans="1:13" ht="63" outlineLevel="5">
      <c r="A666" s="19" t="s">
        <v>465</v>
      </c>
      <c r="B666" s="20" t="s">
        <v>239</v>
      </c>
      <c r="C666" s="20" t="s">
        <v>14</v>
      </c>
      <c r="D666" s="20" t="s">
        <v>276</v>
      </c>
      <c r="E666" s="20" t="s">
        <v>1</v>
      </c>
      <c r="F666" s="13">
        <f>F667</f>
        <v>2965781.12</v>
      </c>
      <c r="G666" s="2"/>
      <c r="I666" s="13">
        <v>2958350</v>
      </c>
      <c r="J666" s="2"/>
      <c r="L666" s="69">
        <f t="shared" si="18"/>
        <v>7431.120000000112</v>
      </c>
      <c r="M666" s="69">
        <f t="shared" si="19"/>
        <v>0</v>
      </c>
    </row>
    <row r="667" spans="1:13" ht="31.5" outlineLevel="6">
      <c r="A667" s="19" t="s">
        <v>692</v>
      </c>
      <c r="B667" s="20" t="s">
        <v>239</v>
      </c>
      <c r="C667" s="20" t="s">
        <v>14</v>
      </c>
      <c r="D667" s="20" t="s">
        <v>276</v>
      </c>
      <c r="E667" s="20" t="s">
        <v>70</v>
      </c>
      <c r="F667" s="13">
        <f>'Приложение_7 '!G786</f>
        <v>2965781.12</v>
      </c>
      <c r="G667" s="2"/>
      <c r="I667" s="13">
        <v>2958350</v>
      </c>
      <c r="J667" s="2"/>
      <c r="L667" s="69">
        <f t="shared" si="18"/>
        <v>7431.120000000112</v>
      </c>
      <c r="M667" s="69">
        <f t="shared" si="19"/>
        <v>0</v>
      </c>
    </row>
    <row r="668" spans="1:13" ht="15.75" outlineLevel="4">
      <c r="A668" s="19" t="s">
        <v>560</v>
      </c>
      <c r="B668" s="20" t="s">
        <v>239</v>
      </c>
      <c r="C668" s="20" t="s">
        <v>14</v>
      </c>
      <c r="D668" s="20" t="s">
        <v>277</v>
      </c>
      <c r="E668" s="20" t="s">
        <v>1</v>
      </c>
      <c r="F668" s="13">
        <f>F669</f>
        <v>3172093.4</v>
      </c>
      <c r="G668" s="2"/>
      <c r="I668" s="13">
        <v>3422320</v>
      </c>
      <c r="J668" s="2"/>
      <c r="L668" s="69">
        <f t="shared" si="18"/>
        <v>-250226.6000000001</v>
      </c>
      <c r="M668" s="69">
        <f t="shared" si="19"/>
        <v>0</v>
      </c>
    </row>
    <row r="669" spans="1:13" ht="63" outlineLevel="5">
      <c r="A669" s="19" t="s">
        <v>432</v>
      </c>
      <c r="B669" s="20" t="s">
        <v>239</v>
      </c>
      <c r="C669" s="20" t="s">
        <v>14</v>
      </c>
      <c r="D669" s="20" t="s">
        <v>278</v>
      </c>
      <c r="E669" s="20" t="s">
        <v>1</v>
      </c>
      <c r="F669" s="13">
        <f>F670</f>
        <v>3172093.4</v>
      </c>
      <c r="G669" s="2"/>
      <c r="I669" s="13">
        <v>3422320</v>
      </c>
      <c r="J669" s="2"/>
      <c r="L669" s="69">
        <f t="shared" si="18"/>
        <v>-250226.6000000001</v>
      </c>
      <c r="M669" s="69">
        <f t="shared" si="19"/>
        <v>0</v>
      </c>
    </row>
    <row r="670" spans="1:13" ht="31.5" outlineLevel="6">
      <c r="A670" s="19" t="s">
        <v>692</v>
      </c>
      <c r="B670" s="20" t="s">
        <v>239</v>
      </c>
      <c r="C670" s="20" t="s">
        <v>14</v>
      </c>
      <c r="D670" s="20" t="s">
        <v>278</v>
      </c>
      <c r="E670" s="20" t="s">
        <v>70</v>
      </c>
      <c r="F670" s="13">
        <f>'Приложение_7 '!G789</f>
        <v>3172093.4</v>
      </c>
      <c r="G670" s="2"/>
      <c r="I670" s="13">
        <v>3422320</v>
      </c>
      <c r="J670" s="2"/>
      <c r="L670" s="69">
        <f t="shared" si="18"/>
        <v>-250226.6000000001</v>
      </c>
      <c r="M670" s="69">
        <f t="shared" si="19"/>
        <v>0</v>
      </c>
    </row>
    <row r="671" spans="1:13" ht="47.25" outlineLevel="3">
      <c r="A671" s="42" t="s">
        <v>637</v>
      </c>
      <c r="B671" s="43" t="s">
        <v>239</v>
      </c>
      <c r="C671" s="43" t="s">
        <v>14</v>
      </c>
      <c r="D671" s="43" t="s">
        <v>249</v>
      </c>
      <c r="E671" s="43" t="s">
        <v>1</v>
      </c>
      <c r="F671" s="12">
        <f>F672+F680+F675</f>
        <v>2005422.2</v>
      </c>
      <c r="G671" s="1"/>
      <c r="I671" s="12">
        <v>933737</v>
      </c>
      <c r="J671" s="1"/>
      <c r="L671" s="69">
        <f t="shared" si="18"/>
        <v>1071685.2</v>
      </c>
      <c r="M671" s="69">
        <f t="shared" si="19"/>
        <v>0</v>
      </c>
    </row>
    <row r="672" spans="1:13" ht="31.5" outlineLevel="4">
      <c r="A672" s="19" t="s">
        <v>562</v>
      </c>
      <c r="B672" s="20" t="s">
        <v>239</v>
      </c>
      <c r="C672" s="20" t="s">
        <v>14</v>
      </c>
      <c r="D672" s="20" t="s">
        <v>252</v>
      </c>
      <c r="E672" s="20" t="s">
        <v>1</v>
      </c>
      <c r="F672" s="13">
        <f>F673</f>
        <v>464000</v>
      </c>
      <c r="G672" s="1"/>
      <c r="I672" s="13">
        <v>464000</v>
      </c>
      <c r="J672" s="1"/>
      <c r="L672" s="69">
        <f t="shared" si="18"/>
        <v>0</v>
      </c>
      <c r="M672" s="69">
        <f t="shared" si="19"/>
        <v>0</v>
      </c>
    </row>
    <row r="673" spans="1:13" ht="31.5" outlineLevel="5">
      <c r="A673" s="19" t="s">
        <v>441</v>
      </c>
      <c r="B673" s="20" t="s">
        <v>239</v>
      </c>
      <c r="C673" s="20" t="s">
        <v>14</v>
      </c>
      <c r="D673" s="20" t="s">
        <v>253</v>
      </c>
      <c r="E673" s="20" t="s">
        <v>1</v>
      </c>
      <c r="F673" s="13">
        <f>F674</f>
        <v>464000</v>
      </c>
      <c r="G673" s="2"/>
      <c r="I673" s="13">
        <v>464000</v>
      </c>
      <c r="J673" s="2"/>
      <c r="L673" s="69">
        <f t="shared" si="18"/>
        <v>0</v>
      </c>
      <c r="M673" s="69">
        <f t="shared" si="19"/>
        <v>0</v>
      </c>
    </row>
    <row r="674" spans="1:13" ht="31.5" outlineLevel="6">
      <c r="A674" s="19" t="s">
        <v>692</v>
      </c>
      <c r="B674" s="20" t="s">
        <v>239</v>
      </c>
      <c r="C674" s="20" t="s">
        <v>14</v>
      </c>
      <c r="D674" s="20" t="s">
        <v>253</v>
      </c>
      <c r="E674" s="20" t="s">
        <v>70</v>
      </c>
      <c r="F674" s="13">
        <f>'Приложение_7 '!G793</f>
        <v>464000</v>
      </c>
      <c r="G674" s="2"/>
      <c r="I674" s="13">
        <v>464000</v>
      </c>
      <c r="J674" s="2"/>
      <c r="L674" s="69">
        <f t="shared" si="18"/>
        <v>0</v>
      </c>
      <c r="M674" s="69">
        <f t="shared" si="19"/>
        <v>0</v>
      </c>
    </row>
    <row r="675" spans="1:13" ht="47.25" outlineLevel="6">
      <c r="A675" s="36" t="s">
        <v>585</v>
      </c>
      <c r="B675" s="37" t="s">
        <v>239</v>
      </c>
      <c r="C675" s="37" t="s">
        <v>14</v>
      </c>
      <c r="D675" s="37" t="s">
        <v>415</v>
      </c>
      <c r="E675" s="37" t="s">
        <v>1</v>
      </c>
      <c r="F675" s="13">
        <f>F676+F678</f>
        <v>945205.2</v>
      </c>
      <c r="G675" s="2"/>
      <c r="I675" s="13"/>
      <c r="J675" s="2"/>
      <c r="L675" s="69"/>
      <c r="M675" s="69"/>
    </row>
    <row r="676" spans="1:13" ht="31.5" outlineLevel="6">
      <c r="A676" s="36" t="s">
        <v>456</v>
      </c>
      <c r="B676" s="37" t="s">
        <v>239</v>
      </c>
      <c r="C676" s="37" t="s">
        <v>14</v>
      </c>
      <c r="D676" s="37" t="s">
        <v>890</v>
      </c>
      <c r="E676" s="37" t="s">
        <v>1</v>
      </c>
      <c r="F676" s="13">
        <f>F677</f>
        <v>475205.2</v>
      </c>
      <c r="G676" s="2"/>
      <c r="I676" s="13"/>
      <c r="J676" s="2"/>
      <c r="L676" s="69"/>
      <c r="M676" s="69"/>
    </row>
    <row r="677" spans="1:13" ht="31.5" outlineLevel="6">
      <c r="A677" s="36" t="s">
        <v>692</v>
      </c>
      <c r="B677" s="37" t="s">
        <v>239</v>
      </c>
      <c r="C677" s="37" t="s">
        <v>14</v>
      </c>
      <c r="D677" s="37" t="s">
        <v>890</v>
      </c>
      <c r="E677" s="37" t="s">
        <v>70</v>
      </c>
      <c r="F677" s="13">
        <f>'Приложение_7 '!G796</f>
        <v>475205.2</v>
      </c>
      <c r="G677" s="2"/>
      <c r="I677" s="13"/>
      <c r="J677" s="2"/>
      <c r="L677" s="69"/>
      <c r="M677" s="69"/>
    </row>
    <row r="678" spans="1:13" ht="31.5" outlineLevel="6">
      <c r="A678" s="36" t="s">
        <v>441</v>
      </c>
      <c r="B678" s="37" t="s">
        <v>239</v>
      </c>
      <c r="C678" s="37" t="s">
        <v>14</v>
      </c>
      <c r="D678" s="37" t="s">
        <v>947</v>
      </c>
      <c r="E678" s="37" t="s">
        <v>1</v>
      </c>
      <c r="F678" s="13">
        <f>F679</f>
        <v>470000</v>
      </c>
      <c r="G678" s="2"/>
      <c r="I678" s="13"/>
      <c r="J678" s="2"/>
      <c r="L678" s="69"/>
      <c r="M678" s="69"/>
    </row>
    <row r="679" spans="1:13" ht="31.5" outlineLevel="6">
      <c r="A679" s="36" t="s">
        <v>692</v>
      </c>
      <c r="B679" s="37" t="s">
        <v>239</v>
      </c>
      <c r="C679" s="37" t="s">
        <v>14</v>
      </c>
      <c r="D679" s="37" t="s">
        <v>947</v>
      </c>
      <c r="E679" s="37" t="s">
        <v>70</v>
      </c>
      <c r="F679" s="13">
        <f>'Приложение_7 '!G798</f>
        <v>470000</v>
      </c>
      <c r="G679" s="2"/>
      <c r="I679" s="13"/>
      <c r="J679" s="2"/>
      <c r="L679" s="69"/>
      <c r="M679" s="69"/>
    </row>
    <row r="680" spans="1:13" ht="47.25" outlineLevel="4">
      <c r="A680" s="19" t="s">
        <v>563</v>
      </c>
      <c r="B680" s="20" t="s">
        <v>239</v>
      </c>
      <c r="C680" s="20" t="s">
        <v>14</v>
      </c>
      <c r="D680" s="20" t="s">
        <v>254</v>
      </c>
      <c r="E680" s="20" t="s">
        <v>1</v>
      </c>
      <c r="F680" s="13">
        <f>F681</f>
        <v>596217</v>
      </c>
      <c r="G680" s="2"/>
      <c r="I680" s="13">
        <v>469737</v>
      </c>
      <c r="J680" s="2"/>
      <c r="L680" s="69">
        <f t="shared" si="18"/>
        <v>126480</v>
      </c>
      <c r="M680" s="69">
        <f t="shared" si="19"/>
        <v>0</v>
      </c>
    </row>
    <row r="681" spans="1:13" ht="31.5" outlineLevel="5">
      <c r="A681" s="19" t="s">
        <v>441</v>
      </c>
      <c r="B681" s="20" t="s">
        <v>239</v>
      </c>
      <c r="C681" s="20" t="s">
        <v>14</v>
      </c>
      <c r="D681" s="20" t="s">
        <v>255</v>
      </c>
      <c r="E681" s="20" t="s">
        <v>1</v>
      </c>
      <c r="F681" s="13">
        <f>F682</f>
        <v>596217</v>
      </c>
      <c r="G681" s="2"/>
      <c r="I681" s="13">
        <v>469737</v>
      </c>
      <c r="J681" s="2"/>
      <c r="L681" s="69">
        <f t="shared" si="18"/>
        <v>126480</v>
      </c>
      <c r="M681" s="69">
        <f t="shared" si="19"/>
        <v>0</v>
      </c>
    </row>
    <row r="682" spans="1:13" ht="31.5" outlineLevel="6">
      <c r="A682" s="19" t="s">
        <v>692</v>
      </c>
      <c r="B682" s="20" t="s">
        <v>239</v>
      </c>
      <c r="C682" s="20" t="s">
        <v>14</v>
      </c>
      <c r="D682" s="20" t="s">
        <v>255</v>
      </c>
      <c r="E682" s="20" t="s">
        <v>70</v>
      </c>
      <c r="F682" s="13">
        <f>'Приложение_7 '!G801</f>
        <v>596217</v>
      </c>
      <c r="G682" s="2"/>
      <c r="I682" s="13">
        <v>469737</v>
      </c>
      <c r="J682" s="2"/>
      <c r="L682" s="69">
        <f t="shared" si="18"/>
        <v>126480</v>
      </c>
      <c r="M682" s="69">
        <f t="shared" si="19"/>
        <v>0</v>
      </c>
    </row>
    <row r="683" spans="1:13" ht="47.25" outlineLevel="2">
      <c r="A683" s="42" t="s">
        <v>657</v>
      </c>
      <c r="B683" s="43" t="s">
        <v>239</v>
      </c>
      <c r="C683" s="43" t="s">
        <v>14</v>
      </c>
      <c r="D683" s="43" t="s">
        <v>279</v>
      </c>
      <c r="E683" s="43" t="s">
        <v>1</v>
      </c>
      <c r="F683" s="12">
        <f>F684</f>
        <v>64387129.160000004</v>
      </c>
      <c r="G683" s="12">
        <f>G684</f>
        <v>789604.56</v>
      </c>
      <c r="I683" s="12">
        <v>64376348.13</v>
      </c>
      <c r="J683" s="1">
        <f>J684</f>
        <v>789604.56</v>
      </c>
      <c r="L683" s="69">
        <f t="shared" si="18"/>
        <v>10781.030000001192</v>
      </c>
      <c r="M683" s="69">
        <f t="shared" si="19"/>
        <v>0</v>
      </c>
    </row>
    <row r="684" spans="1:13" ht="47.25" outlineLevel="3">
      <c r="A684" s="42" t="s">
        <v>639</v>
      </c>
      <c r="B684" s="43" t="s">
        <v>239</v>
      </c>
      <c r="C684" s="43" t="s">
        <v>14</v>
      </c>
      <c r="D684" s="43" t="s">
        <v>280</v>
      </c>
      <c r="E684" s="43" t="s">
        <v>1</v>
      </c>
      <c r="F684" s="12">
        <f>F685+F692+F699</f>
        <v>64387129.160000004</v>
      </c>
      <c r="G684" s="12">
        <f>G685+G692+G699</f>
        <v>789604.56</v>
      </c>
      <c r="I684" s="12">
        <v>64376348.13</v>
      </c>
      <c r="J684" s="1">
        <f>J685+J692</f>
        <v>789604.56</v>
      </c>
      <c r="L684" s="69">
        <f t="shared" si="18"/>
        <v>10781.030000001192</v>
      </c>
      <c r="M684" s="69">
        <f t="shared" si="19"/>
        <v>0</v>
      </c>
    </row>
    <row r="685" spans="1:13" ht="31.5" outlineLevel="4">
      <c r="A685" s="19" t="s">
        <v>570</v>
      </c>
      <c r="B685" s="20" t="s">
        <v>239</v>
      </c>
      <c r="C685" s="20" t="s">
        <v>14</v>
      </c>
      <c r="D685" s="20" t="s">
        <v>281</v>
      </c>
      <c r="E685" s="20" t="s">
        <v>1</v>
      </c>
      <c r="F685" s="13">
        <f>F686+F688+F690</f>
        <v>43300440.22</v>
      </c>
      <c r="G685" s="13">
        <f>G686+G688+G690</f>
        <v>544827.14</v>
      </c>
      <c r="I685" s="13">
        <v>43300440.22</v>
      </c>
      <c r="J685" s="2">
        <f>J688</f>
        <v>544827.14</v>
      </c>
      <c r="L685" s="69">
        <f t="shared" si="18"/>
        <v>0</v>
      </c>
      <c r="M685" s="69">
        <f t="shared" si="19"/>
        <v>0</v>
      </c>
    </row>
    <row r="686" spans="1:13" ht="63" outlineLevel="5">
      <c r="A686" s="19" t="s">
        <v>443</v>
      </c>
      <c r="B686" s="20" t="s">
        <v>239</v>
      </c>
      <c r="C686" s="20" t="s">
        <v>14</v>
      </c>
      <c r="D686" s="20" t="s">
        <v>282</v>
      </c>
      <c r="E686" s="20" t="s">
        <v>1</v>
      </c>
      <c r="F686" s="13">
        <f>F687</f>
        <v>41030262.86</v>
      </c>
      <c r="G686" s="2"/>
      <c r="I686" s="13">
        <v>41030262.86</v>
      </c>
      <c r="J686" s="2"/>
      <c r="L686" s="69">
        <f t="shared" si="18"/>
        <v>0</v>
      </c>
      <c r="M686" s="69">
        <f t="shared" si="19"/>
        <v>0</v>
      </c>
    </row>
    <row r="687" spans="1:13" ht="31.5" outlineLevel="6">
      <c r="A687" s="19" t="s">
        <v>692</v>
      </c>
      <c r="B687" s="20" t="s">
        <v>239</v>
      </c>
      <c r="C687" s="20" t="s">
        <v>14</v>
      </c>
      <c r="D687" s="20" t="s">
        <v>282</v>
      </c>
      <c r="E687" s="20" t="s">
        <v>70</v>
      </c>
      <c r="F687" s="13">
        <f>'Приложение_7 '!G936</f>
        <v>41030262.86</v>
      </c>
      <c r="G687" s="2"/>
      <c r="I687" s="13">
        <v>41030262.86</v>
      </c>
      <c r="J687" s="2"/>
      <c r="L687" s="69">
        <f t="shared" si="18"/>
        <v>0</v>
      </c>
      <c r="M687" s="69">
        <f t="shared" si="19"/>
        <v>0</v>
      </c>
    </row>
    <row r="688" spans="1:13" ht="63" outlineLevel="5">
      <c r="A688" s="19" t="s">
        <v>465</v>
      </c>
      <c r="B688" s="20" t="s">
        <v>239</v>
      </c>
      <c r="C688" s="20" t="s">
        <v>14</v>
      </c>
      <c r="D688" s="20" t="s">
        <v>283</v>
      </c>
      <c r="E688" s="20" t="s">
        <v>1</v>
      </c>
      <c r="F688" s="13">
        <f>F689</f>
        <v>544827.14</v>
      </c>
      <c r="G688" s="13">
        <f>G689</f>
        <v>544827.14</v>
      </c>
      <c r="I688" s="13">
        <v>544827.14</v>
      </c>
      <c r="J688" s="13">
        <v>544827.14</v>
      </c>
      <c r="L688" s="69">
        <f t="shared" si="18"/>
        <v>0</v>
      </c>
      <c r="M688" s="69">
        <f t="shared" si="19"/>
        <v>0</v>
      </c>
    </row>
    <row r="689" spans="1:13" ht="31.5" outlineLevel="6">
      <c r="A689" s="19" t="s">
        <v>692</v>
      </c>
      <c r="B689" s="20" t="s">
        <v>239</v>
      </c>
      <c r="C689" s="20" t="s">
        <v>14</v>
      </c>
      <c r="D689" s="20" t="s">
        <v>283</v>
      </c>
      <c r="E689" s="20" t="s">
        <v>70</v>
      </c>
      <c r="F689" s="13">
        <f>'Приложение_7 '!G938</f>
        <v>544827.14</v>
      </c>
      <c r="G689" s="13">
        <f>F689</f>
        <v>544827.14</v>
      </c>
      <c r="I689" s="13">
        <v>544827.14</v>
      </c>
      <c r="J689" s="13">
        <v>544827.14</v>
      </c>
      <c r="L689" s="69">
        <f t="shared" si="18"/>
        <v>0</v>
      </c>
      <c r="M689" s="69">
        <f t="shared" si="19"/>
        <v>0</v>
      </c>
    </row>
    <row r="690" spans="1:13" ht="63" outlineLevel="5">
      <c r="A690" s="19" t="s">
        <v>465</v>
      </c>
      <c r="B690" s="20" t="s">
        <v>239</v>
      </c>
      <c r="C690" s="20" t="s">
        <v>14</v>
      </c>
      <c r="D690" s="20" t="s">
        <v>284</v>
      </c>
      <c r="E690" s="20" t="s">
        <v>1</v>
      </c>
      <c r="F690" s="13">
        <f>F691</f>
        <v>1725350.22</v>
      </c>
      <c r="G690" s="2"/>
      <c r="I690" s="13">
        <v>1725350.22</v>
      </c>
      <c r="J690" s="2"/>
      <c r="L690" s="69">
        <f t="shared" si="18"/>
        <v>0</v>
      </c>
      <c r="M690" s="69">
        <f t="shared" si="19"/>
        <v>0</v>
      </c>
    </row>
    <row r="691" spans="1:13" ht="31.5" outlineLevel="6">
      <c r="A691" s="19" t="s">
        <v>692</v>
      </c>
      <c r="B691" s="20" t="s">
        <v>239</v>
      </c>
      <c r="C691" s="20" t="s">
        <v>14</v>
      </c>
      <c r="D691" s="20" t="s">
        <v>284</v>
      </c>
      <c r="E691" s="20" t="s">
        <v>70</v>
      </c>
      <c r="F691" s="13">
        <f>'Приложение_7 '!G940</f>
        <v>1725350.22</v>
      </c>
      <c r="G691" s="2"/>
      <c r="I691" s="13">
        <v>1725350.22</v>
      </c>
      <c r="J691" s="2"/>
      <c r="L691" s="69">
        <f t="shared" si="18"/>
        <v>0</v>
      </c>
      <c r="M691" s="69">
        <f t="shared" si="19"/>
        <v>0</v>
      </c>
    </row>
    <row r="692" spans="1:13" ht="31.5" outlineLevel="4">
      <c r="A692" s="19" t="s">
        <v>571</v>
      </c>
      <c r="B692" s="20" t="s">
        <v>239</v>
      </c>
      <c r="C692" s="20" t="s">
        <v>14</v>
      </c>
      <c r="D692" s="20" t="s">
        <v>285</v>
      </c>
      <c r="E692" s="20" t="s">
        <v>1</v>
      </c>
      <c r="F692" s="13">
        <f>F693+F695+F697</f>
        <v>20043383.910000004</v>
      </c>
      <c r="G692" s="13">
        <f>G693+G695+G697</f>
        <v>244777.42</v>
      </c>
      <c r="I692" s="13">
        <v>20043383.91</v>
      </c>
      <c r="J692" s="2">
        <f>J695</f>
        <v>244777.42</v>
      </c>
      <c r="L692" s="69">
        <f t="shared" si="18"/>
        <v>0</v>
      </c>
      <c r="M692" s="69">
        <f t="shared" si="19"/>
        <v>0</v>
      </c>
    </row>
    <row r="693" spans="1:13" ht="63" outlineLevel="5">
      <c r="A693" s="19" t="s">
        <v>443</v>
      </c>
      <c r="B693" s="20" t="s">
        <v>239</v>
      </c>
      <c r="C693" s="20" t="s">
        <v>14</v>
      </c>
      <c r="D693" s="20" t="s">
        <v>286</v>
      </c>
      <c r="E693" s="20" t="s">
        <v>1</v>
      </c>
      <c r="F693" s="13">
        <f>F694</f>
        <v>19023449.14</v>
      </c>
      <c r="G693" s="2"/>
      <c r="I693" s="13">
        <v>19023449.14</v>
      </c>
      <c r="J693" s="2"/>
      <c r="L693" s="69">
        <f t="shared" si="18"/>
        <v>0</v>
      </c>
      <c r="M693" s="69">
        <f t="shared" si="19"/>
        <v>0</v>
      </c>
    </row>
    <row r="694" spans="1:13" ht="31.5" outlineLevel="6">
      <c r="A694" s="19" t="s">
        <v>692</v>
      </c>
      <c r="B694" s="20" t="s">
        <v>239</v>
      </c>
      <c r="C694" s="20" t="s">
        <v>14</v>
      </c>
      <c r="D694" s="20" t="s">
        <v>286</v>
      </c>
      <c r="E694" s="20" t="s">
        <v>70</v>
      </c>
      <c r="F694" s="13">
        <f>'Приложение_7 '!G943</f>
        <v>19023449.14</v>
      </c>
      <c r="G694" s="2"/>
      <c r="I694" s="13">
        <v>19023449.14</v>
      </c>
      <c r="J694" s="2"/>
      <c r="L694" s="69">
        <f t="shared" si="18"/>
        <v>0</v>
      </c>
      <c r="M694" s="69">
        <f t="shared" si="19"/>
        <v>0</v>
      </c>
    </row>
    <row r="695" spans="1:13" ht="63" outlineLevel="5">
      <c r="A695" s="19" t="s">
        <v>465</v>
      </c>
      <c r="B695" s="20" t="s">
        <v>239</v>
      </c>
      <c r="C695" s="20" t="s">
        <v>14</v>
      </c>
      <c r="D695" s="20" t="s">
        <v>287</v>
      </c>
      <c r="E695" s="20" t="s">
        <v>1</v>
      </c>
      <c r="F695" s="13">
        <f>F696</f>
        <v>244777.42</v>
      </c>
      <c r="G695" s="13">
        <f>G696</f>
        <v>244777.42</v>
      </c>
      <c r="I695" s="13">
        <v>244777.42</v>
      </c>
      <c r="J695" s="13">
        <v>244777.42</v>
      </c>
      <c r="L695" s="69">
        <f t="shared" si="18"/>
        <v>0</v>
      </c>
      <c r="M695" s="69">
        <f t="shared" si="19"/>
        <v>0</v>
      </c>
    </row>
    <row r="696" spans="1:13" ht="31.5" outlineLevel="6">
      <c r="A696" s="19" t="s">
        <v>692</v>
      </c>
      <c r="B696" s="20" t="s">
        <v>239</v>
      </c>
      <c r="C696" s="20" t="s">
        <v>14</v>
      </c>
      <c r="D696" s="20" t="s">
        <v>287</v>
      </c>
      <c r="E696" s="20" t="s">
        <v>70</v>
      </c>
      <c r="F696" s="13">
        <f>'Приложение_7 '!G945</f>
        <v>244777.42</v>
      </c>
      <c r="G696" s="13">
        <f>F696</f>
        <v>244777.42</v>
      </c>
      <c r="I696" s="13">
        <v>244777.42</v>
      </c>
      <c r="J696" s="13">
        <v>244777.42</v>
      </c>
      <c r="L696" s="69">
        <f t="shared" si="18"/>
        <v>0</v>
      </c>
      <c r="M696" s="69">
        <f t="shared" si="19"/>
        <v>0</v>
      </c>
    </row>
    <row r="697" spans="1:13" ht="63" outlineLevel="5">
      <c r="A697" s="19" t="s">
        <v>465</v>
      </c>
      <c r="B697" s="20" t="s">
        <v>239</v>
      </c>
      <c r="C697" s="20" t="s">
        <v>14</v>
      </c>
      <c r="D697" s="20" t="s">
        <v>288</v>
      </c>
      <c r="E697" s="20" t="s">
        <v>1</v>
      </c>
      <c r="F697" s="13">
        <f>F698</f>
        <v>775157.35</v>
      </c>
      <c r="G697" s="2"/>
      <c r="I697" s="13">
        <v>775157.35</v>
      </c>
      <c r="J697" s="2"/>
      <c r="L697" s="69">
        <f t="shared" si="18"/>
        <v>0</v>
      </c>
      <c r="M697" s="69">
        <f t="shared" si="19"/>
        <v>0</v>
      </c>
    </row>
    <row r="698" spans="1:13" ht="31.5" outlineLevel="6">
      <c r="A698" s="19" t="s">
        <v>692</v>
      </c>
      <c r="B698" s="20" t="s">
        <v>239</v>
      </c>
      <c r="C698" s="20" t="s">
        <v>14</v>
      </c>
      <c r="D698" s="20" t="s">
        <v>288</v>
      </c>
      <c r="E698" s="20" t="s">
        <v>70</v>
      </c>
      <c r="F698" s="13">
        <f>'Приложение_7 '!G947</f>
        <v>775157.35</v>
      </c>
      <c r="G698" s="2"/>
      <c r="I698" s="13">
        <v>775157.35</v>
      </c>
      <c r="J698" s="2"/>
      <c r="L698" s="69">
        <f t="shared" si="18"/>
        <v>0</v>
      </c>
      <c r="M698" s="69">
        <f t="shared" si="19"/>
        <v>0</v>
      </c>
    </row>
    <row r="699" spans="1:13" ht="15.75" outlineLevel="4">
      <c r="A699" s="19" t="s">
        <v>560</v>
      </c>
      <c r="B699" s="20" t="s">
        <v>239</v>
      </c>
      <c r="C699" s="20" t="s">
        <v>14</v>
      </c>
      <c r="D699" s="20" t="s">
        <v>289</v>
      </c>
      <c r="E699" s="20" t="s">
        <v>1</v>
      </c>
      <c r="F699" s="13">
        <f>F700</f>
        <v>1043305.03</v>
      </c>
      <c r="G699" s="2"/>
      <c r="I699" s="13">
        <v>1032524</v>
      </c>
      <c r="J699" s="2"/>
      <c r="L699" s="69">
        <f t="shared" si="18"/>
        <v>10781.030000000028</v>
      </c>
      <c r="M699" s="69">
        <f t="shared" si="19"/>
        <v>0</v>
      </c>
    </row>
    <row r="700" spans="1:13" ht="63" outlineLevel="5">
      <c r="A700" s="19" t="s">
        <v>432</v>
      </c>
      <c r="B700" s="20" t="s">
        <v>239</v>
      </c>
      <c r="C700" s="20" t="s">
        <v>14</v>
      </c>
      <c r="D700" s="20" t="s">
        <v>290</v>
      </c>
      <c r="E700" s="20" t="s">
        <v>1</v>
      </c>
      <c r="F700" s="13">
        <f>F701</f>
        <v>1043305.03</v>
      </c>
      <c r="G700" s="2"/>
      <c r="I700" s="13">
        <v>1032524</v>
      </c>
      <c r="J700" s="2"/>
      <c r="L700" s="69">
        <f t="shared" si="18"/>
        <v>10781.030000000028</v>
      </c>
      <c r="M700" s="69">
        <f t="shared" si="19"/>
        <v>0</v>
      </c>
    </row>
    <row r="701" spans="1:13" ht="31.5" outlineLevel="6">
      <c r="A701" s="19" t="s">
        <v>692</v>
      </c>
      <c r="B701" s="20" t="s">
        <v>239</v>
      </c>
      <c r="C701" s="20" t="s">
        <v>14</v>
      </c>
      <c r="D701" s="20" t="s">
        <v>290</v>
      </c>
      <c r="E701" s="20" t="s">
        <v>70</v>
      </c>
      <c r="F701" s="13">
        <f>'Приложение_7 '!G950</f>
        <v>1043305.03</v>
      </c>
      <c r="G701" s="2"/>
      <c r="I701" s="13">
        <v>1032524</v>
      </c>
      <c r="J701" s="2"/>
      <c r="L701" s="69">
        <f t="shared" si="18"/>
        <v>10781.030000000028</v>
      </c>
      <c r="M701" s="69">
        <f t="shared" si="19"/>
        <v>0</v>
      </c>
    </row>
    <row r="702" spans="1:13" ht="31.5" outlineLevel="2">
      <c r="A702" s="42" t="s">
        <v>655</v>
      </c>
      <c r="B702" s="43" t="s">
        <v>239</v>
      </c>
      <c r="C702" s="43" t="s">
        <v>14</v>
      </c>
      <c r="D702" s="43" t="s">
        <v>90</v>
      </c>
      <c r="E702" s="43" t="s">
        <v>1</v>
      </c>
      <c r="F702" s="12">
        <f>F703</f>
        <v>1650629</v>
      </c>
      <c r="G702" s="1"/>
      <c r="I702" s="12">
        <v>1650629</v>
      </c>
      <c r="J702" s="1"/>
      <c r="L702" s="69">
        <f t="shared" si="18"/>
        <v>0</v>
      </c>
      <c r="M702" s="69">
        <f t="shared" si="19"/>
        <v>0</v>
      </c>
    </row>
    <row r="703" spans="1:13" ht="47.25" outlineLevel="3">
      <c r="A703" s="42" t="s">
        <v>620</v>
      </c>
      <c r="B703" s="43" t="s">
        <v>239</v>
      </c>
      <c r="C703" s="43" t="s">
        <v>14</v>
      </c>
      <c r="D703" s="43" t="s">
        <v>91</v>
      </c>
      <c r="E703" s="43" t="s">
        <v>1</v>
      </c>
      <c r="F703" s="12">
        <f>F704</f>
        <v>1650629</v>
      </c>
      <c r="G703" s="1"/>
      <c r="I703" s="12">
        <v>1650629</v>
      </c>
      <c r="J703" s="1"/>
      <c r="L703" s="69">
        <f t="shared" si="18"/>
        <v>0</v>
      </c>
      <c r="M703" s="69">
        <f t="shared" si="19"/>
        <v>0</v>
      </c>
    </row>
    <row r="704" spans="1:13" ht="31.5" outlineLevel="4">
      <c r="A704" s="19" t="s">
        <v>510</v>
      </c>
      <c r="B704" s="20" t="s">
        <v>239</v>
      </c>
      <c r="C704" s="20" t="s">
        <v>14</v>
      </c>
      <c r="D704" s="20" t="s">
        <v>100</v>
      </c>
      <c r="E704" s="20" t="s">
        <v>1</v>
      </c>
      <c r="F704" s="13">
        <f>F705</f>
        <v>1650629</v>
      </c>
      <c r="G704" s="2"/>
      <c r="I704" s="13">
        <v>1650629</v>
      </c>
      <c r="J704" s="2"/>
      <c r="L704" s="69">
        <f t="shared" si="18"/>
        <v>0</v>
      </c>
      <c r="M704" s="69">
        <f t="shared" si="19"/>
        <v>0</v>
      </c>
    </row>
    <row r="705" spans="1:13" ht="31.5" outlineLevel="5">
      <c r="A705" s="19" t="s">
        <v>441</v>
      </c>
      <c r="B705" s="20" t="s">
        <v>239</v>
      </c>
      <c r="C705" s="20" t="s">
        <v>14</v>
      </c>
      <c r="D705" s="20" t="s">
        <v>101</v>
      </c>
      <c r="E705" s="20" t="s">
        <v>1</v>
      </c>
      <c r="F705" s="13">
        <f>F706</f>
        <v>1650629</v>
      </c>
      <c r="G705" s="2"/>
      <c r="I705" s="13">
        <v>1650629</v>
      </c>
      <c r="J705" s="2"/>
      <c r="L705" s="69">
        <f t="shared" si="18"/>
        <v>0</v>
      </c>
      <c r="M705" s="69">
        <f t="shared" si="19"/>
        <v>0</v>
      </c>
    </row>
    <row r="706" spans="1:13" ht="31.5" outlineLevel="6">
      <c r="A706" s="19" t="s">
        <v>692</v>
      </c>
      <c r="B706" s="20" t="s">
        <v>239</v>
      </c>
      <c r="C706" s="20" t="s">
        <v>14</v>
      </c>
      <c r="D706" s="20" t="s">
        <v>101</v>
      </c>
      <c r="E706" s="20" t="s">
        <v>70</v>
      </c>
      <c r="F706" s="13">
        <f>'Приложение_7 '!G806+'Приложение_7 '!G955</f>
        <v>1650629</v>
      </c>
      <c r="G706" s="2"/>
      <c r="I706" s="13">
        <v>1650629</v>
      </c>
      <c r="J706" s="2"/>
      <c r="L706" s="69">
        <f t="shared" si="18"/>
        <v>0</v>
      </c>
      <c r="M706" s="69">
        <f t="shared" si="19"/>
        <v>0</v>
      </c>
    </row>
    <row r="707" spans="1:13" s="68" customFormat="1" ht="30.75" customHeight="1" outlineLevel="1">
      <c r="A707" s="42" t="s">
        <v>679</v>
      </c>
      <c r="B707" s="43" t="s">
        <v>239</v>
      </c>
      <c r="C707" s="43" t="s">
        <v>239</v>
      </c>
      <c r="D707" s="43" t="s">
        <v>4</v>
      </c>
      <c r="E707" s="43" t="s">
        <v>1</v>
      </c>
      <c r="F707" s="12">
        <f>F708+F722+F749</f>
        <v>32811905.52</v>
      </c>
      <c r="G707" s="12">
        <f>G708+G722+G749</f>
        <v>3866700</v>
      </c>
      <c r="I707" s="12">
        <v>32743800</v>
      </c>
      <c r="J707" s="1">
        <f>J708</f>
        <v>3866700</v>
      </c>
      <c r="L707" s="69">
        <f t="shared" si="18"/>
        <v>68105.51999999955</v>
      </c>
      <c r="M707" s="69">
        <f t="shared" si="19"/>
        <v>0</v>
      </c>
    </row>
    <row r="708" spans="1:13" ht="31.5" outlineLevel="2">
      <c r="A708" s="42" t="s">
        <v>653</v>
      </c>
      <c r="B708" s="43" t="s">
        <v>239</v>
      </c>
      <c r="C708" s="43" t="s">
        <v>239</v>
      </c>
      <c r="D708" s="43" t="s">
        <v>23</v>
      </c>
      <c r="E708" s="43" t="s">
        <v>1</v>
      </c>
      <c r="F708" s="12">
        <f>F709</f>
        <v>12712790</v>
      </c>
      <c r="G708" s="12">
        <f>G709</f>
        <v>3866700</v>
      </c>
      <c r="I708" s="12">
        <v>12712790</v>
      </c>
      <c r="J708" s="1">
        <f>J709</f>
        <v>3866700</v>
      </c>
      <c r="L708" s="69">
        <f t="shared" si="18"/>
        <v>0</v>
      </c>
      <c r="M708" s="69">
        <f t="shared" si="19"/>
        <v>0</v>
      </c>
    </row>
    <row r="709" spans="1:13" ht="47.25" outlineLevel="3">
      <c r="A709" s="42" t="s">
        <v>640</v>
      </c>
      <c r="B709" s="43" t="s">
        <v>239</v>
      </c>
      <c r="C709" s="43" t="s">
        <v>239</v>
      </c>
      <c r="D709" s="43" t="s">
        <v>291</v>
      </c>
      <c r="E709" s="43" t="s">
        <v>1</v>
      </c>
      <c r="F709" s="12">
        <f>F710+F717</f>
        <v>12712790</v>
      </c>
      <c r="G709" s="12">
        <f>G710+G717</f>
        <v>3866700</v>
      </c>
      <c r="I709" s="12">
        <v>12712790</v>
      </c>
      <c r="J709" s="1">
        <f>J717</f>
        <v>3866700</v>
      </c>
      <c r="L709" s="69">
        <f t="shared" si="18"/>
        <v>0</v>
      </c>
      <c r="M709" s="69">
        <f t="shared" si="19"/>
        <v>0</v>
      </c>
    </row>
    <row r="710" spans="1:13" ht="31.5" outlineLevel="4">
      <c r="A710" s="19" t="s">
        <v>572</v>
      </c>
      <c r="B710" s="20" t="s">
        <v>239</v>
      </c>
      <c r="C710" s="20" t="s">
        <v>239</v>
      </c>
      <c r="D710" s="20" t="s">
        <v>292</v>
      </c>
      <c r="E710" s="20" t="s">
        <v>1</v>
      </c>
      <c r="F710" s="13">
        <f>F711+F713+F715</f>
        <v>7574557.2</v>
      </c>
      <c r="G710" s="13">
        <f>G711+G713+G715</f>
        <v>752400</v>
      </c>
      <c r="I710" s="13">
        <v>6822157.2</v>
      </c>
      <c r="J710" s="2"/>
      <c r="L710" s="69">
        <f t="shared" si="18"/>
        <v>752400</v>
      </c>
      <c r="M710" s="69">
        <f t="shared" si="19"/>
        <v>752400</v>
      </c>
    </row>
    <row r="711" spans="1:13" ht="31.5" outlineLevel="5">
      <c r="A711" s="19" t="s">
        <v>441</v>
      </c>
      <c r="B711" s="20" t="s">
        <v>239</v>
      </c>
      <c r="C711" s="20" t="s">
        <v>239</v>
      </c>
      <c r="D711" s="20" t="s">
        <v>293</v>
      </c>
      <c r="E711" s="20" t="s">
        <v>1</v>
      </c>
      <c r="F711" s="13">
        <f>F712</f>
        <v>6782557.2</v>
      </c>
      <c r="G711" s="2"/>
      <c r="I711" s="13">
        <v>6822157.2</v>
      </c>
      <c r="J711" s="2"/>
      <c r="L711" s="69">
        <f t="shared" si="18"/>
        <v>-39600</v>
      </c>
      <c r="M711" s="69">
        <f t="shared" si="19"/>
        <v>0</v>
      </c>
    </row>
    <row r="712" spans="1:13" ht="31.5" outlineLevel="6">
      <c r="A712" s="19" t="s">
        <v>692</v>
      </c>
      <c r="B712" s="20" t="s">
        <v>239</v>
      </c>
      <c r="C712" s="20" t="s">
        <v>239</v>
      </c>
      <c r="D712" s="20" t="s">
        <v>293</v>
      </c>
      <c r="E712" s="20" t="s">
        <v>70</v>
      </c>
      <c r="F712" s="13">
        <f>'Приложение_7 '!G812</f>
        <v>6782557.2</v>
      </c>
      <c r="G712" s="2"/>
      <c r="I712" s="13">
        <v>6822157.2</v>
      </c>
      <c r="J712" s="2"/>
      <c r="L712" s="69">
        <f aca="true" t="shared" si="20" ref="L712:L779">F712-I712</f>
        <v>-39600</v>
      </c>
      <c r="M712" s="69">
        <f aca="true" t="shared" si="21" ref="M712:M779">G712-J712</f>
        <v>0</v>
      </c>
    </row>
    <row r="713" spans="1:13" ht="47.25" outlineLevel="6">
      <c r="A713" s="103" t="s">
        <v>864</v>
      </c>
      <c r="B713" s="104" t="s">
        <v>239</v>
      </c>
      <c r="C713" s="104" t="s">
        <v>239</v>
      </c>
      <c r="D713" s="104" t="s">
        <v>878</v>
      </c>
      <c r="E713" s="104" t="s">
        <v>1</v>
      </c>
      <c r="F713" s="13">
        <f>F714</f>
        <v>752400</v>
      </c>
      <c r="G713" s="2">
        <f>F713</f>
        <v>752400</v>
      </c>
      <c r="I713" s="13"/>
      <c r="J713" s="2"/>
      <c r="L713" s="69"/>
      <c r="M713" s="69"/>
    </row>
    <row r="714" spans="1:13" ht="31.5" outlineLevel="6">
      <c r="A714" s="103" t="s">
        <v>692</v>
      </c>
      <c r="B714" s="104" t="s">
        <v>239</v>
      </c>
      <c r="C714" s="104" t="s">
        <v>239</v>
      </c>
      <c r="D714" s="104" t="s">
        <v>878</v>
      </c>
      <c r="E714" s="104" t="s">
        <v>70</v>
      </c>
      <c r="F714" s="13">
        <f>'Приложение_7 '!G814</f>
        <v>752400</v>
      </c>
      <c r="G714" s="2">
        <f>F714</f>
        <v>752400</v>
      </c>
      <c r="I714" s="13"/>
      <c r="J714" s="2"/>
      <c r="L714" s="69"/>
      <c r="M714" s="69"/>
    </row>
    <row r="715" spans="1:13" ht="47.25" outlineLevel="6">
      <c r="A715" s="103" t="s">
        <v>864</v>
      </c>
      <c r="B715" s="104" t="s">
        <v>239</v>
      </c>
      <c r="C715" s="104" t="s">
        <v>239</v>
      </c>
      <c r="D715" s="104" t="s">
        <v>877</v>
      </c>
      <c r="E715" s="104" t="s">
        <v>1</v>
      </c>
      <c r="F715" s="13">
        <f>F716</f>
        <v>39600</v>
      </c>
      <c r="G715" s="2"/>
      <c r="I715" s="13"/>
      <c r="J715" s="2"/>
      <c r="L715" s="69"/>
      <c r="M715" s="69"/>
    </row>
    <row r="716" spans="1:13" ht="31.5" outlineLevel="6">
      <c r="A716" s="103" t="s">
        <v>692</v>
      </c>
      <c r="B716" s="104" t="s">
        <v>239</v>
      </c>
      <c r="C716" s="104" t="s">
        <v>239</v>
      </c>
      <c r="D716" s="104" t="s">
        <v>877</v>
      </c>
      <c r="E716" s="104" t="s">
        <v>70</v>
      </c>
      <c r="F716" s="13">
        <f>'Приложение_7 '!G816</f>
        <v>39600</v>
      </c>
      <c r="G716" s="2"/>
      <c r="I716" s="13"/>
      <c r="J716" s="2"/>
      <c r="L716" s="69"/>
      <c r="M716" s="69"/>
    </row>
    <row r="717" spans="1:13" ht="47.25" outlineLevel="4">
      <c r="A717" s="19" t="s">
        <v>573</v>
      </c>
      <c r="B717" s="20" t="s">
        <v>239</v>
      </c>
      <c r="C717" s="20" t="s">
        <v>239</v>
      </c>
      <c r="D717" s="20" t="s">
        <v>294</v>
      </c>
      <c r="E717" s="20" t="s">
        <v>1</v>
      </c>
      <c r="F717" s="13">
        <f>F718+F720</f>
        <v>5138232.8</v>
      </c>
      <c r="G717" s="13">
        <f>G718+G720</f>
        <v>3114300</v>
      </c>
      <c r="I717" s="13">
        <v>5890632.8</v>
      </c>
      <c r="J717" s="2">
        <f>J718</f>
        <v>3866700</v>
      </c>
      <c r="L717" s="69">
        <f t="shared" si="20"/>
        <v>-752400</v>
      </c>
      <c r="M717" s="69">
        <f t="shared" si="21"/>
        <v>-752400</v>
      </c>
    </row>
    <row r="718" spans="1:13" ht="47.25" outlineLevel="5">
      <c r="A718" s="19" t="s">
        <v>697</v>
      </c>
      <c r="B718" s="20" t="s">
        <v>239</v>
      </c>
      <c r="C718" s="20" t="s">
        <v>239</v>
      </c>
      <c r="D718" s="20" t="s">
        <v>295</v>
      </c>
      <c r="E718" s="20" t="s">
        <v>1</v>
      </c>
      <c r="F718" s="13">
        <f>F719</f>
        <v>3114300</v>
      </c>
      <c r="G718" s="13">
        <f>G719</f>
        <v>3114300</v>
      </c>
      <c r="I718" s="13">
        <v>3866700</v>
      </c>
      <c r="J718" s="13">
        <v>3866700</v>
      </c>
      <c r="L718" s="69">
        <f t="shared" si="20"/>
        <v>-752400</v>
      </c>
      <c r="M718" s="69">
        <f t="shared" si="21"/>
        <v>-752400</v>
      </c>
    </row>
    <row r="719" spans="1:13" ht="31.5" outlineLevel="6">
      <c r="A719" s="19" t="s">
        <v>692</v>
      </c>
      <c r="B719" s="20" t="s">
        <v>239</v>
      </c>
      <c r="C719" s="20" t="s">
        <v>239</v>
      </c>
      <c r="D719" s="20" t="s">
        <v>295</v>
      </c>
      <c r="E719" s="20" t="s">
        <v>70</v>
      </c>
      <c r="F719" s="13">
        <f>'Приложение_7 '!G819</f>
        <v>3114300</v>
      </c>
      <c r="G719" s="13">
        <f>F719</f>
        <v>3114300</v>
      </c>
      <c r="I719" s="13">
        <v>3866700</v>
      </c>
      <c r="J719" s="13">
        <v>3866700</v>
      </c>
      <c r="L719" s="69">
        <f t="shared" si="20"/>
        <v>-752400</v>
      </c>
      <c r="M719" s="69">
        <f t="shared" si="21"/>
        <v>-752400</v>
      </c>
    </row>
    <row r="720" spans="1:13" ht="47.25" outlineLevel="5">
      <c r="A720" s="19" t="s">
        <v>697</v>
      </c>
      <c r="B720" s="20" t="s">
        <v>239</v>
      </c>
      <c r="C720" s="20" t="s">
        <v>239</v>
      </c>
      <c r="D720" s="20" t="s">
        <v>296</v>
      </c>
      <c r="E720" s="20" t="s">
        <v>1</v>
      </c>
      <c r="F720" s="13">
        <f>F721</f>
        <v>2023932.8</v>
      </c>
      <c r="G720" s="2"/>
      <c r="I720" s="13">
        <v>2023932.8</v>
      </c>
      <c r="J720" s="2"/>
      <c r="L720" s="69">
        <f t="shared" si="20"/>
        <v>0</v>
      </c>
      <c r="M720" s="69">
        <f t="shared" si="21"/>
        <v>0</v>
      </c>
    </row>
    <row r="721" spans="1:13" ht="31.5" outlineLevel="6">
      <c r="A721" s="19" t="s">
        <v>692</v>
      </c>
      <c r="B721" s="20" t="s">
        <v>239</v>
      </c>
      <c r="C721" s="20" t="s">
        <v>239</v>
      </c>
      <c r="D721" s="20" t="s">
        <v>296</v>
      </c>
      <c r="E721" s="20" t="s">
        <v>70</v>
      </c>
      <c r="F721" s="13">
        <f>'Приложение_7 '!G821</f>
        <v>2023932.8</v>
      </c>
      <c r="G721" s="2"/>
      <c r="I721" s="13">
        <v>2023932.8</v>
      </c>
      <c r="J721" s="2"/>
      <c r="L721" s="69">
        <f t="shared" si="20"/>
        <v>0</v>
      </c>
      <c r="M721" s="69">
        <f t="shared" si="21"/>
        <v>0</v>
      </c>
    </row>
    <row r="722" spans="1:13" ht="47.25" outlineLevel="2">
      <c r="A722" s="42" t="s">
        <v>658</v>
      </c>
      <c r="B722" s="43" t="s">
        <v>239</v>
      </c>
      <c r="C722" s="43" t="s">
        <v>239</v>
      </c>
      <c r="D722" s="43" t="s">
        <v>297</v>
      </c>
      <c r="E722" s="43" t="s">
        <v>1</v>
      </c>
      <c r="F722" s="12">
        <f>F723+F739</f>
        <v>19904177.52</v>
      </c>
      <c r="G722" s="1"/>
      <c r="I722" s="12">
        <v>19836072</v>
      </c>
      <c r="J722" s="1"/>
      <c r="L722" s="69">
        <f t="shared" si="20"/>
        <v>68105.51999999955</v>
      </c>
      <c r="M722" s="69">
        <f t="shared" si="21"/>
        <v>0</v>
      </c>
    </row>
    <row r="723" spans="1:13" ht="31.5" outlineLevel="3">
      <c r="A723" s="42" t="s">
        <v>641</v>
      </c>
      <c r="B723" s="43" t="s">
        <v>239</v>
      </c>
      <c r="C723" s="43" t="s">
        <v>239</v>
      </c>
      <c r="D723" s="43" t="s">
        <v>298</v>
      </c>
      <c r="E723" s="43" t="s">
        <v>1</v>
      </c>
      <c r="F723" s="12">
        <f>F724+F728+F733+F736</f>
        <v>846250</v>
      </c>
      <c r="G723" s="1"/>
      <c r="I723" s="12">
        <v>846250</v>
      </c>
      <c r="J723" s="1"/>
      <c r="L723" s="69">
        <f t="shared" si="20"/>
        <v>0</v>
      </c>
      <c r="M723" s="69">
        <f t="shared" si="21"/>
        <v>0</v>
      </c>
    </row>
    <row r="724" spans="1:13" ht="47.25" outlineLevel="4">
      <c r="A724" s="19" t="s">
        <v>574</v>
      </c>
      <c r="B724" s="20" t="s">
        <v>239</v>
      </c>
      <c r="C724" s="20" t="s">
        <v>239</v>
      </c>
      <c r="D724" s="20" t="s">
        <v>299</v>
      </c>
      <c r="E724" s="20" t="s">
        <v>1</v>
      </c>
      <c r="F724" s="13">
        <f>F725</f>
        <v>436250</v>
      </c>
      <c r="G724" s="1"/>
      <c r="I724" s="13">
        <v>436250</v>
      </c>
      <c r="J724" s="1"/>
      <c r="L724" s="69">
        <f t="shared" si="20"/>
        <v>0</v>
      </c>
      <c r="M724" s="69">
        <f t="shared" si="21"/>
        <v>0</v>
      </c>
    </row>
    <row r="725" spans="1:13" ht="31.5" outlineLevel="5">
      <c r="A725" s="19" t="s">
        <v>441</v>
      </c>
      <c r="B725" s="20" t="s">
        <v>239</v>
      </c>
      <c r="C725" s="20" t="s">
        <v>239</v>
      </c>
      <c r="D725" s="20" t="s">
        <v>300</v>
      </c>
      <c r="E725" s="20" t="s">
        <v>1</v>
      </c>
      <c r="F725" s="13">
        <f>F726+F727</f>
        <v>436250</v>
      </c>
      <c r="G725" s="2"/>
      <c r="I725" s="13">
        <v>436250</v>
      </c>
      <c r="J725" s="2"/>
      <c r="L725" s="69">
        <f t="shared" si="20"/>
        <v>0</v>
      </c>
      <c r="M725" s="69">
        <f t="shared" si="21"/>
        <v>0</v>
      </c>
    </row>
    <row r="726" spans="1:13" ht="31.5" outlineLevel="6">
      <c r="A726" s="19" t="s">
        <v>689</v>
      </c>
      <c r="B726" s="20" t="s">
        <v>239</v>
      </c>
      <c r="C726" s="20" t="s">
        <v>239</v>
      </c>
      <c r="D726" s="20" t="s">
        <v>300</v>
      </c>
      <c r="E726" s="20" t="s">
        <v>17</v>
      </c>
      <c r="F726" s="13">
        <f>'Приложение_7 '!G961</f>
        <v>236250</v>
      </c>
      <c r="G726" s="2"/>
      <c r="I726" s="13">
        <v>236250</v>
      </c>
      <c r="J726" s="2"/>
      <c r="L726" s="69">
        <f t="shared" si="20"/>
        <v>0</v>
      </c>
      <c r="M726" s="69">
        <f t="shared" si="21"/>
        <v>0</v>
      </c>
    </row>
    <row r="727" spans="1:13" ht="31.5" outlineLevel="6">
      <c r="A727" s="19" t="s">
        <v>692</v>
      </c>
      <c r="B727" s="20" t="s">
        <v>239</v>
      </c>
      <c r="C727" s="20" t="s">
        <v>239</v>
      </c>
      <c r="D727" s="20" t="s">
        <v>300</v>
      </c>
      <c r="E727" s="20" t="s">
        <v>70</v>
      </c>
      <c r="F727" s="13">
        <f>'Приложение_7 '!G962</f>
        <v>200000</v>
      </c>
      <c r="G727" s="2"/>
      <c r="I727" s="13">
        <v>200000</v>
      </c>
      <c r="J727" s="2"/>
      <c r="L727" s="69">
        <f t="shared" si="20"/>
        <v>0</v>
      </c>
      <c r="M727" s="69">
        <f t="shared" si="21"/>
        <v>0</v>
      </c>
    </row>
    <row r="728" spans="1:13" ht="78.75" outlineLevel="4">
      <c r="A728" s="19" t="s">
        <v>575</v>
      </c>
      <c r="B728" s="20" t="s">
        <v>239</v>
      </c>
      <c r="C728" s="20" t="s">
        <v>239</v>
      </c>
      <c r="D728" s="20" t="s">
        <v>301</v>
      </c>
      <c r="E728" s="20" t="s">
        <v>1</v>
      </c>
      <c r="F728" s="13">
        <f>F729</f>
        <v>105000</v>
      </c>
      <c r="G728" s="2"/>
      <c r="I728" s="13">
        <v>105000</v>
      </c>
      <c r="J728" s="2"/>
      <c r="L728" s="69">
        <f t="shared" si="20"/>
        <v>0</v>
      </c>
      <c r="M728" s="69">
        <f t="shared" si="21"/>
        <v>0</v>
      </c>
    </row>
    <row r="729" spans="1:13" ht="31.5" outlineLevel="5">
      <c r="A729" s="19" t="s">
        <v>441</v>
      </c>
      <c r="B729" s="20" t="s">
        <v>239</v>
      </c>
      <c r="C729" s="20" t="s">
        <v>239</v>
      </c>
      <c r="D729" s="20" t="s">
        <v>302</v>
      </c>
      <c r="E729" s="20" t="s">
        <v>1</v>
      </c>
      <c r="F729" s="13">
        <f>F730+F731+F732</f>
        <v>105000</v>
      </c>
      <c r="G729" s="2"/>
      <c r="I729" s="13">
        <v>105000</v>
      </c>
      <c r="J729" s="2"/>
      <c r="L729" s="69">
        <f t="shared" si="20"/>
        <v>0</v>
      </c>
      <c r="M729" s="69">
        <f t="shared" si="21"/>
        <v>0</v>
      </c>
    </row>
    <row r="730" spans="1:13" ht="78.75" outlineLevel="6">
      <c r="A730" s="19" t="s">
        <v>704</v>
      </c>
      <c r="B730" s="20" t="s">
        <v>239</v>
      </c>
      <c r="C730" s="20" t="s">
        <v>239</v>
      </c>
      <c r="D730" s="20" t="s">
        <v>302</v>
      </c>
      <c r="E730" s="20" t="s">
        <v>10</v>
      </c>
      <c r="F730" s="13">
        <f>'Приложение_7 '!G965</f>
        <v>30000</v>
      </c>
      <c r="G730" s="2"/>
      <c r="I730" s="13">
        <v>30000</v>
      </c>
      <c r="J730" s="2"/>
      <c r="L730" s="69">
        <f t="shared" si="20"/>
        <v>0</v>
      </c>
      <c r="M730" s="69">
        <f t="shared" si="21"/>
        <v>0</v>
      </c>
    </row>
    <row r="731" spans="1:13" ht="31.5" outlineLevel="6">
      <c r="A731" s="19" t="s">
        <v>689</v>
      </c>
      <c r="B731" s="20" t="s">
        <v>239</v>
      </c>
      <c r="C731" s="20" t="s">
        <v>239</v>
      </c>
      <c r="D731" s="20" t="s">
        <v>302</v>
      </c>
      <c r="E731" s="20" t="s">
        <v>17</v>
      </c>
      <c r="F731" s="13">
        <f>'Приложение_7 '!G966</f>
        <v>30000</v>
      </c>
      <c r="G731" s="2"/>
      <c r="I731" s="13">
        <v>30000</v>
      </c>
      <c r="J731" s="2"/>
      <c r="L731" s="69">
        <f t="shared" si="20"/>
        <v>0</v>
      </c>
      <c r="M731" s="69">
        <f t="shared" si="21"/>
        <v>0</v>
      </c>
    </row>
    <row r="732" spans="1:13" ht="31.5" outlineLevel="6">
      <c r="A732" s="19" t="s">
        <v>692</v>
      </c>
      <c r="B732" s="20" t="s">
        <v>239</v>
      </c>
      <c r="C732" s="20" t="s">
        <v>239</v>
      </c>
      <c r="D732" s="20" t="s">
        <v>302</v>
      </c>
      <c r="E732" s="20" t="s">
        <v>70</v>
      </c>
      <c r="F732" s="13">
        <f>'Приложение_7 '!G967</f>
        <v>45000</v>
      </c>
      <c r="G732" s="2"/>
      <c r="I732" s="13">
        <v>45000</v>
      </c>
      <c r="J732" s="2"/>
      <c r="L732" s="69">
        <f t="shared" si="20"/>
        <v>0</v>
      </c>
      <c r="M732" s="69">
        <f t="shared" si="21"/>
        <v>0</v>
      </c>
    </row>
    <row r="733" spans="1:13" ht="31.5" outlineLevel="4">
      <c r="A733" s="19" t="s">
        <v>576</v>
      </c>
      <c r="B733" s="20" t="s">
        <v>239</v>
      </c>
      <c r="C733" s="20" t="s">
        <v>239</v>
      </c>
      <c r="D733" s="20" t="s">
        <v>303</v>
      </c>
      <c r="E733" s="20" t="s">
        <v>1</v>
      </c>
      <c r="F733" s="13">
        <f>F734</f>
        <v>5000</v>
      </c>
      <c r="G733" s="2"/>
      <c r="I733" s="13">
        <v>5000</v>
      </c>
      <c r="J733" s="2"/>
      <c r="L733" s="69">
        <f t="shared" si="20"/>
        <v>0</v>
      </c>
      <c r="M733" s="69">
        <f t="shared" si="21"/>
        <v>0</v>
      </c>
    </row>
    <row r="734" spans="1:13" ht="31.5" outlineLevel="5">
      <c r="A734" s="19" t="s">
        <v>441</v>
      </c>
      <c r="B734" s="20" t="s">
        <v>239</v>
      </c>
      <c r="C734" s="20" t="s">
        <v>239</v>
      </c>
      <c r="D734" s="20" t="s">
        <v>304</v>
      </c>
      <c r="E734" s="20" t="s">
        <v>1</v>
      </c>
      <c r="F734" s="13">
        <f>F735</f>
        <v>5000</v>
      </c>
      <c r="G734" s="2"/>
      <c r="I734" s="13">
        <v>5000</v>
      </c>
      <c r="J734" s="2"/>
      <c r="L734" s="69">
        <f t="shared" si="20"/>
        <v>0</v>
      </c>
      <c r="M734" s="69">
        <f t="shared" si="21"/>
        <v>0</v>
      </c>
    </row>
    <row r="735" spans="1:13" ht="31.5" outlineLevel="6">
      <c r="A735" s="19" t="s">
        <v>689</v>
      </c>
      <c r="B735" s="20" t="s">
        <v>239</v>
      </c>
      <c r="C735" s="20" t="s">
        <v>239</v>
      </c>
      <c r="D735" s="20" t="s">
        <v>304</v>
      </c>
      <c r="E735" s="20" t="s">
        <v>17</v>
      </c>
      <c r="F735" s="13">
        <v>5000</v>
      </c>
      <c r="G735" s="2"/>
      <c r="I735" s="13">
        <v>5000</v>
      </c>
      <c r="J735" s="2"/>
      <c r="L735" s="69">
        <f t="shared" si="20"/>
        <v>0</v>
      </c>
      <c r="M735" s="69">
        <f t="shared" si="21"/>
        <v>0</v>
      </c>
    </row>
    <row r="736" spans="1:13" ht="47.25" outlineLevel="4">
      <c r="A736" s="19" t="s">
        <v>577</v>
      </c>
      <c r="B736" s="20" t="s">
        <v>239</v>
      </c>
      <c r="C736" s="20" t="s">
        <v>239</v>
      </c>
      <c r="D736" s="20" t="s">
        <v>305</v>
      </c>
      <c r="E736" s="20" t="s">
        <v>1</v>
      </c>
      <c r="F736" s="13">
        <f>F737</f>
        <v>300000</v>
      </c>
      <c r="G736" s="2"/>
      <c r="I736" s="13">
        <v>300000</v>
      </c>
      <c r="J736" s="2"/>
      <c r="L736" s="69">
        <f t="shared" si="20"/>
        <v>0</v>
      </c>
      <c r="M736" s="69">
        <f t="shared" si="21"/>
        <v>0</v>
      </c>
    </row>
    <row r="737" spans="1:13" ht="31.5" outlineLevel="5">
      <c r="A737" s="19" t="s">
        <v>469</v>
      </c>
      <c r="B737" s="20" t="s">
        <v>239</v>
      </c>
      <c r="C737" s="20" t="s">
        <v>239</v>
      </c>
      <c r="D737" s="20" t="s">
        <v>306</v>
      </c>
      <c r="E737" s="20" t="s">
        <v>1</v>
      </c>
      <c r="F737" s="13">
        <f>F738</f>
        <v>300000</v>
      </c>
      <c r="G737" s="2"/>
      <c r="I737" s="13">
        <v>300000</v>
      </c>
      <c r="J737" s="2"/>
      <c r="L737" s="69">
        <f t="shared" si="20"/>
        <v>0</v>
      </c>
      <c r="M737" s="69">
        <f t="shared" si="21"/>
        <v>0</v>
      </c>
    </row>
    <row r="738" spans="1:13" ht="31.5" outlineLevel="6">
      <c r="A738" s="19" t="s">
        <v>690</v>
      </c>
      <c r="B738" s="20" t="s">
        <v>239</v>
      </c>
      <c r="C738" s="20" t="s">
        <v>239</v>
      </c>
      <c r="D738" s="20" t="s">
        <v>306</v>
      </c>
      <c r="E738" s="20" t="s">
        <v>47</v>
      </c>
      <c r="F738" s="13">
        <f>'Приложение_7 '!G973</f>
        <v>300000</v>
      </c>
      <c r="G738" s="2"/>
      <c r="I738" s="13">
        <v>300000</v>
      </c>
      <c r="J738" s="2"/>
      <c r="L738" s="69">
        <f t="shared" si="20"/>
        <v>0</v>
      </c>
      <c r="M738" s="69">
        <f t="shared" si="21"/>
        <v>0</v>
      </c>
    </row>
    <row r="739" spans="1:13" ht="31.5" outlineLevel="3">
      <c r="A739" s="42" t="s">
        <v>642</v>
      </c>
      <c r="B739" s="43" t="s">
        <v>239</v>
      </c>
      <c r="C739" s="43" t="s">
        <v>239</v>
      </c>
      <c r="D739" s="43" t="s">
        <v>307</v>
      </c>
      <c r="E739" s="43" t="s">
        <v>1</v>
      </c>
      <c r="F739" s="12">
        <f>F740+F743+F746</f>
        <v>19057927.52</v>
      </c>
      <c r="G739" s="1"/>
      <c r="I739" s="12">
        <v>18989822</v>
      </c>
      <c r="J739" s="1"/>
      <c r="L739" s="69">
        <f t="shared" si="20"/>
        <v>68105.51999999955</v>
      </c>
      <c r="M739" s="69">
        <f t="shared" si="21"/>
        <v>0</v>
      </c>
    </row>
    <row r="740" spans="1:13" ht="94.5" outlineLevel="4">
      <c r="A740" s="19" t="s">
        <v>578</v>
      </c>
      <c r="B740" s="20" t="s">
        <v>239</v>
      </c>
      <c r="C740" s="20" t="s">
        <v>239</v>
      </c>
      <c r="D740" s="20" t="s">
        <v>308</v>
      </c>
      <c r="E740" s="20" t="s">
        <v>1</v>
      </c>
      <c r="F740" s="13">
        <f>F741</f>
        <v>75972</v>
      </c>
      <c r="G740" s="2"/>
      <c r="I740" s="13">
        <v>75972</v>
      </c>
      <c r="J740" s="2"/>
      <c r="L740" s="69">
        <f t="shared" si="20"/>
        <v>0</v>
      </c>
      <c r="M740" s="69">
        <f t="shared" si="21"/>
        <v>0</v>
      </c>
    </row>
    <row r="741" spans="1:13" ht="63" outlineLevel="5">
      <c r="A741" s="19" t="s">
        <v>443</v>
      </c>
      <c r="B741" s="20" t="s">
        <v>239</v>
      </c>
      <c r="C741" s="20" t="s">
        <v>239</v>
      </c>
      <c r="D741" s="20" t="s">
        <v>309</v>
      </c>
      <c r="E741" s="20" t="s">
        <v>1</v>
      </c>
      <c r="F741" s="13">
        <f>F742</f>
        <v>75972</v>
      </c>
      <c r="G741" s="2"/>
      <c r="I741" s="13">
        <v>75972</v>
      </c>
      <c r="J741" s="2"/>
      <c r="L741" s="69">
        <f t="shared" si="20"/>
        <v>0</v>
      </c>
      <c r="M741" s="69">
        <f t="shared" si="21"/>
        <v>0</v>
      </c>
    </row>
    <row r="742" spans="1:13" ht="31.5" outlineLevel="6">
      <c r="A742" s="19" t="s">
        <v>692</v>
      </c>
      <c r="B742" s="20" t="s">
        <v>239</v>
      </c>
      <c r="C742" s="20" t="s">
        <v>239</v>
      </c>
      <c r="D742" s="20" t="s">
        <v>309</v>
      </c>
      <c r="E742" s="20" t="s">
        <v>70</v>
      </c>
      <c r="F742" s="13">
        <f>'Приложение_7 '!G977</f>
        <v>75972</v>
      </c>
      <c r="G742" s="2"/>
      <c r="I742" s="13">
        <v>75972</v>
      </c>
      <c r="J742" s="2"/>
      <c r="L742" s="69">
        <f t="shared" si="20"/>
        <v>0</v>
      </c>
      <c r="M742" s="69">
        <f t="shared" si="21"/>
        <v>0</v>
      </c>
    </row>
    <row r="743" spans="1:13" ht="110.25" outlineLevel="4">
      <c r="A743" s="19" t="s">
        <v>579</v>
      </c>
      <c r="B743" s="20" t="s">
        <v>239</v>
      </c>
      <c r="C743" s="20" t="s">
        <v>239</v>
      </c>
      <c r="D743" s="20" t="s">
        <v>310</v>
      </c>
      <c r="E743" s="20" t="s">
        <v>1</v>
      </c>
      <c r="F743" s="13">
        <f>F744</f>
        <v>18708017</v>
      </c>
      <c r="G743" s="2"/>
      <c r="I743" s="13">
        <v>18708017</v>
      </c>
      <c r="J743" s="2"/>
      <c r="L743" s="69">
        <f t="shared" si="20"/>
        <v>0</v>
      </c>
      <c r="M743" s="69">
        <f t="shared" si="21"/>
        <v>0</v>
      </c>
    </row>
    <row r="744" spans="1:13" ht="63" outlineLevel="5">
      <c r="A744" s="19" t="s">
        <v>443</v>
      </c>
      <c r="B744" s="20" t="s">
        <v>239</v>
      </c>
      <c r="C744" s="20" t="s">
        <v>239</v>
      </c>
      <c r="D744" s="20" t="s">
        <v>311</v>
      </c>
      <c r="E744" s="20" t="s">
        <v>1</v>
      </c>
      <c r="F744" s="13">
        <f>F745</f>
        <v>18708017</v>
      </c>
      <c r="G744" s="2"/>
      <c r="I744" s="13">
        <v>18708017</v>
      </c>
      <c r="J744" s="2"/>
      <c r="L744" s="69">
        <f t="shared" si="20"/>
        <v>0</v>
      </c>
      <c r="M744" s="69">
        <f t="shared" si="21"/>
        <v>0</v>
      </c>
    </row>
    <row r="745" spans="1:13" ht="31.5" outlineLevel="6">
      <c r="A745" s="19" t="s">
        <v>692</v>
      </c>
      <c r="B745" s="20" t="s">
        <v>239</v>
      </c>
      <c r="C745" s="20" t="s">
        <v>239</v>
      </c>
      <c r="D745" s="20" t="s">
        <v>311</v>
      </c>
      <c r="E745" s="20" t="s">
        <v>70</v>
      </c>
      <c r="F745" s="13">
        <f>'Приложение_7 '!G980</f>
        <v>18708017</v>
      </c>
      <c r="G745" s="2"/>
      <c r="I745" s="13">
        <v>18708017</v>
      </c>
      <c r="J745" s="2"/>
      <c r="L745" s="69">
        <f t="shared" si="20"/>
        <v>0</v>
      </c>
      <c r="M745" s="69">
        <f t="shared" si="21"/>
        <v>0</v>
      </c>
    </row>
    <row r="746" spans="1:13" ht="15.75" outlineLevel="4">
      <c r="A746" s="19" t="s">
        <v>560</v>
      </c>
      <c r="B746" s="20" t="s">
        <v>239</v>
      </c>
      <c r="C746" s="20" t="s">
        <v>239</v>
      </c>
      <c r="D746" s="20" t="s">
        <v>312</v>
      </c>
      <c r="E746" s="20" t="s">
        <v>1</v>
      </c>
      <c r="F746" s="13">
        <f>F747</f>
        <v>273938.52</v>
      </c>
      <c r="G746" s="2"/>
      <c r="I746" s="13">
        <v>205833</v>
      </c>
      <c r="J746" s="2"/>
      <c r="L746" s="69">
        <f t="shared" si="20"/>
        <v>68105.52000000002</v>
      </c>
      <c r="M746" s="69">
        <f t="shared" si="21"/>
        <v>0</v>
      </c>
    </row>
    <row r="747" spans="1:13" ht="63" outlineLevel="5">
      <c r="A747" s="19" t="s">
        <v>432</v>
      </c>
      <c r="B747" s="20" t="s">
        <v>239</v>
      </c>
      <c r="C747" s="20" t="s">
        <v>239</v>
      </c>
      <c r="D747" s="20" t="s">
        <v>313</v>
      </c>
      <c r="E747" s="20" t="s">
        <v>1</v>
      </c>
      <c r="F747" s="13">
        <f>F748</f>
        <v>273938.52</v>
      </c>
      <c r="G747" s="2"/>
      <c r="I747" s="13">
        <v>205833</v>
      </c>
      <c r="J747" s="2"/>
      <c r="L747" s="69">
        <f t="shared" si="20"/>
        <v>68105.52000000002</v>
      </c>
      <c r="M747" s="69">
        <f t="shared" si="21"/>
        <v>0</v>
      </c>
    </row>
    <row r="748" spans="1:13" ht="31.5" outlineLevel="6">
      <c r="A748" s="19" t="s">
        <v>692</v>
      </c>
      <c r="B748" s="20" t="s">
        <v>239</v>
      </c>
      <c r="C748" s="20" t="s">
        <v>239</v>
      </c>
      <c r="D748" s="20" t="s">
        <v>313</v>
      </c>
      <c r="E748" s="20" t="s">
        <v>70</v>
      </c>
      <c r="F748" s="13">
        <f>'Приложение_7 '!G983</f>
        <v>273938.52</v>
      </c>
      <c r="G748" s="2"/>
      <c r="I748" s="13">
        <v>205833</v>
      </c>
      <c r="J748" s="2"/>
      <c r="L748" s="69">
        <f t="shared" si="20"/>
        <v>68105.52000000002</v>
      </c>
      <c r="M748" s="69">
        <f t="shared" si="21"/>
        <v>0</v>
      </c>
    </row>
    <row r="749" spans="1:13" ht="31.5" outlineLevel="2">
      <c r="A749" s="42" t="s">
        <v>655</v>
      </c>
      <c r="B749" s="43" t="s">
        <v>239</v>
      </c>
      <c r="C749" s="43" t="s">
        <v>239</v>
      </c>
      <c r="D749" s="43" t="s">
        <v>90</v>
      </c>
      <c r="E749" s="43" t="s">
        <v>1</v>
      </c>
      <c r="F749" s="12">
        <f>F750</f>
        <v>194938</v>
      </c>
      <c r="G749" s="1"/>
      <c r="I749" s="12">
        <v>194938</v>
      </c>
      <c r="J749" s="1"/>
      <c r="L749" s="69">
        <f t="shared" si="20"/>
        <v>0</v>
      </c>
      <c r="M749" s="69">
        <f t="shared" si="21"/>
        <v>0</v>
      </c>
    </row>
    <row r="750" spans="1:13" ht="47.25" outlineLevel="3">
      <c r="A750" s="42" t="s">
        <v>620</v>
      </c>
      <c r="B750" s="43" t="s">
        <v>239</v>
      </c>
      <c r="C750" s="43" t="s">
        <v>239</v>
      </c>
      <c r="D750" s="43" t="s">
        <v>91</v>
      </c>
      <c r="E750" s="43" t="s">
        <v>1</v>
      </c>
      <c r="F750" s="12">
        <f>F751</f>
        <v>194938</v>
      </c>
      <c r="G750" s="1"/>
      <c r="I750" s="12">
        <v>194938</v>
      </c>
      <c r="J750" s="1"/>
      <c r="L750" s="69">
        <f t="shared" si="20"/>
        <v>0</v>
      </c>
      <c r="M750" s="69">
        <f t="shared" si="21"/>
        <v>0</v>
      </c>
    </row>
    <row r="751" spans="1:13" ht="31.5" outlineLevel="4">
      <c r="A751" s="19" t="s">
        <v>510</v>
      </c>
      <c r="B751" s="20" t="s">
        <v>239</v>
      </c>
      <c r="C751" s="20" t="s">
        <v>239</v>
      </c>
      <c r="D751" s="20" t="s">
        <v>100</v>
      </c>
      <c r="E751" s="20" t="s">
        <v>1</v>
      </c>
      <c r="F751" s="13">
        <f>F752</f>
        <v>194938</v>
      </c>
      <c r="G751" s="2"/>
      <c r="I751" s="13">
        <v>194938</v>
      </c>
      <c r="J751" s="2"/>
      <c r="L751" s="69">
        <f t="shared" si="20"/>
        <v>0</v>
      </c>
      <c r="M751" s="69">
        <f t="shared" si="21"/>
        <v>0</v>
      </c>
    </row>
    <row r="752" spans="1:13" ht="31.5" outlineLevel="5">
      <c r="A752" s="19" t="s">
        <v>441</v>
      </c>
      <c r="B752" s="20" t="s">
        <v>239</v>
      </c>
      <c r="C752" s="20" t="s">
        <v>239</v>
      </c>
      <c r="D752" s="20" t="s">
        <v>101</v>
      </c>
      <c r="E752" s="20" t="s">
        <v>1</v>
      </c>
      <c r="F752" s="13">
        <f>F753</f>
        <v>194938</v>
      </c>
      <c r="G752" s="2"/>
      <c r="I752" s="13">
        <v>194938</v>
      </c>
      <c r="J752" s="2"/>
      <c r="L752" s="69">
        <f t="shared" si="20"/>
        <v>0</v>
      </c>
      <c r="M752" s="69">
        <f t="shared" si="21"/>
        <v>0</v>
      </c>
    </row>
    <row r="753" spans="1:13" ht="31.5" outlineLevel="6">
      <c r="A753" s="19" t="s">
        <v>692</v>
      </c>
      <c r="B753" s="20" t="s">
        <v>239</v>
      </c>
      <c r="C753" s="20" t="s">
        <v>239</v>
      </c>
      <c r="D753" s="20" t="s">
        <v>101</v>
      </c>
      <c r="E753" s="20" t="s">
        <v>70</v>
      </c>
      <c r="F753" s="13">
        <f>'Приложение_7 '!G988</f>
        <v>194938</v>
      </c>
      <c r="G753" s="2"/>
      <c r="I753" s="13">
        <v>194938</v>
      </c>
      <c r="J753" s="2"/>
      <c r="L753" s="69">
        <f t="shared" si="20"/>
        <v>0</v>
      </c>
      <c r="M753" s="69">
        <f t="shared" si="21"/>
        <v>0</v>
      </c>
    </row>
    <row r="754" spans="1:13" s="68" customFormat="1" ht="34.5" customHeight="1" outlineLevel="1">
      <c r="A754" s="42" t="s">
        <v>680</v>
      </c>
      <c r="B754" s="43" t="s">
        <v>239</v>
      </c>
      <c r="C754" s="43" t="s">
        <v>146</v>
      </c>
      <c r="D754" s="43" t="s">
        <v>4</v>
      </c>
      <c r="E754" s="43" t="s">
        <v>1</v>
      </c>
      <c r="F754" s="12">
        <f>F755+F785</f>
        <v>71637293.69</v>
      </c>
      <c r="G754" s="12">
        <f>G755+G785</f>
        <v>15095800</v>
      </c>
      <c r="I754" s="12">
        <v>71205744</v>
      </c>
      <c r="J754" s="1">
        <f>J770</f>
        <v>15095800</v>
      </c>
      <c r="L754" s="69">
        <f t="shared" si="20"/>
        <v>431549.6899999976</v>
      </c>
      <c r="M754" s="69">
        <f t="shared" si="21"/>
        <v>0</v>
      </c>
    </row>
    <row r="755" spans="1:13" ht="56.25" customHeight="1" outlineLevel="2">
      <c r="A755" s="42" t="s">
        <v>653</v>
      </c>
      <c r="B755" s="43" t="s">
        <v>239</v>
      </c>
      <c r="C755" s="43" t="s">
        <v>146</v>
      </c>
      <c r="D755" s="43" t="s">
        <v>23</v>
      </c>
      <c r="E755" s="43" t="s">
        <v>1</v>
      </c>
      <c r="F755" s="12">
        <f>F756+F763+F770</f>
        <v>70972593.69</v>
      </c>
      <c r="G755" s="12">
        <f>G756+G763+G770</f>
        <v>15095800</v>
      </c>
      <c r="I755" s="12">
        <v>70511044</v>
      </c>
      <c r="J755" s="1">
        <f>J770</f>
        <v>15095800</v>
      </c>
      <c r="L755" s="69">
        <f t="shared" si="20"/>
        <v>461549.6899999976</v>
      </c>
      <c r="M755" s="69">
        <f t="shared" si="21"/>
        <v>0</v>
      </c>
    </row>
    <row r="756" spans="1:13" ht="47.25" outlineLevel="3">
      <c r="A756" s="42" t="s">
        <v>643</v>
      </c>
      <c r="B756" s="43" t="s">
        <v>239</v>
      </c>
      <c r="C756" s="43" t="s">
        <v>146</v>
      </c>
      <c r="D756" s="43" t="s">
        <v>314</v>
      </c>
      <c r="E756" s="43" t="s">
        <v>1</v>
      </c>
      <c r="F756" s="12">
        <f>F757+F760</f>
        <v>21301599.51</v>
      </c>
      <c r="G756" s="1"/>
      <c r="I756" s="12">
        <v>21261253.48</v>
      </c>
      <c r="J756" s="1"/>
      <c r="L756" s="69">
        <f t="shared" si="20"/>
        <v>40346.03000000119</v>
      </c>
      <c r="M756" s="69">
        <f t="shared" si="21"/>
        <v>0</v>
      </c>
    </row>
    <row r="757" spans="1:13" ht="47.25" outlineLevel="4">
      <c r="A757" s="19" t="s">
        <v>580</v>
      </c>
      <c r="B757" s="20" t="s">
        <v>239</v>
      </c>
      <c r="C757" s="20" t="s">
        <v>146</v>
      </c>
      <c r="D757" s="20" t="s">
        <v>315</v>
      </c>
      <c r="E757" s="20" t="s">
        <v>1</v>
      </c>
      <c r="F757" s="13">
        <f>F758</f>
        <v>20966181</v>
      </c>
      <c r="G757" s="1"/>
      <c r="I757" s="13">
        <v>20966181</v>
      </c>
      <c r="J757" s="1"/>
      <c r="L757" s="69">
        <f t="shared" si="20"/>
        <v>0</v>
      </c>
      <c r="M757" s="69">
        <f t="shared" si="21"/>
        <v>0</v>
      </c>
    </row>
    <row r="758" spans="1:13" ht="63" outlineLevel="5">
      <c r="A758" s="19" t="s">
        <v>443</v>
      </c>
      <c r="B758" s="20" t="s">
        <v>239</v>
      </c>
      <c r="C758" s="20" t="s">
        <v>146</v>
      </c>
      <c r="D758" s="20" t="s">
        <v>316</v>
      </c>
      <c r="E758" s="20" t="s">
        <v>1</v>
      </c>
      <c r="F758" s="13">
        <f>F759</f>
        <v>20966181</v>
      </c>
      <c r="G758" s="1"/>
      <c r="I758" s="13">
        <v>20966181</v>
      </c>
      <c r="J758" s="1"/>
      <c r="L758" s="69">
        <f t="shared" si="20"/>
        <v>0</v>
      </c>
      <c r="M758" s="69">
        <f t="shared" si="21"/>
        <v>0</v>
      </c>
    </row>
    <row r="759" spans="1:13" ht="31.5" outlineLevel="6">
      <c r="A759" s="19" t="s">
        <v>692</v>
      </c>
      <c r="B759" s="20" t="s">
        <v>239</v>
      </c>
      <c r="C759" s="20" t="s">
        <v>146</v>
      </c>
      <c r="D759" s="20" t="s">
        <v>316</v>
      </c>
      <c r="E759" s="20" t="s">
        <v>70</v>
      </c>
      <c r="F759" s="13">
        <f>'Приложение_7 '!G827</f>
        <v>20966181</v>
      </c>
      <c r="G759" s="2"/>
      <c r="I759" s="13">
        <v>20966181</v>
      </c>
      <c r="J759" s="2"/>
      <c r="L759" s="69">
        <f t="shared" si="20"/>
        <v>0</v>
      </c>
      <c r="M759" s="69">
        <f t="shared" si="21"/>
        <v>0</v>
      </c>
    </row>
    <row r="760" spans="1:13" ht="15.75" outlineLevel="4">
      <c r="A760" s="19" t="s">
        <v>560</v>
      </c>
      <c r="B760" s="20" t="s">
        <v>239</v>
      </c>
      <c r="C760" s="20" t="s">
        <v>146</v>
      </c>
      <c r="D760" s="20" t="s">
        <v>317</v>
      </c>
      <c r="E760" s="20" t="s">
        <v>1</v>
      </c>
      <c r="F760" s="13">
        <f>F761</f>
        <v>335418.51</v>
      </c>
      <c r="G760" s="2"/>
      <c r="I760" s="13">
        <v>295072.48</v>
      </c>
      <c r="J760" s="2"/>
      <c r="L760" s="69">
        <f t="shared" si="20"/>
        <v>40346.03000000003</v>
      </c>
      <c r="M760" s="69">
        <f t="shared" si="21"/>
        <v>0</v>
      </c>
    </row>
    <row r="761" spans="1:13" ht="63" outlineLevel="5">
      <c r="A761" s="19" t="s">
        <v>432</v>
      </c>
      <c r="B761" s="20" t="s">
        <v>239</v>
      </c>
      <c r="C761" s="20" t="s">
        <v>146</v>
      </c>
      <c r="D761" s="20" t="s">
        <v>318</v>
      </c>
      <c r="E761" s="20" t="s">
        <v>1</v>
      </c>
      <c r="F761" s="13">
        <f>F762</f>
        <v>335418.51</v>
      </c>
      <c r="G761" s="2"/>
      <c r="I761" s="13">
        <v>295072.48</v>
      </c>
      <c r="J761" s="2"/>
      <c r="L761" s="69">
        <f t="shared" si="20"/>
        <v>40346.03000000003</v>
      </c>
      <c r="M761" s="69">
        <f t="shared" si="21"/>
        <v>0</v>
      </c>
    </row>
    <row r="762" spans="1:13" ht="31.5" outlineLevel="6">
      <c r="A762" s="19" t="s">
        <v>692</v>
      </c>
      <c r="B762" s="20" t="s">
        <v>239</v>
      </c>
      <c r="C762" s="20" t="s">
        <v>146</v>
      </c>
      <c r="D762" s="20" t="s">
        <v>318</v>
      </c>
      <c r="E762" s="20" t="s">
        <v>70</v>
      </c>
      <c r="F762" s="13">
        <f>'Приложение_7 '!G830</f>
        <v>335418.51</v>
      </c>
      <c r="G762" s="2"/>
      <c r="I762" s="13">
        <v>295072.48</v>
      </c>
      <c r="J762" s="2"/>
      <c r="L762" s="69">
        <f t="shared" si="20"/>
        <v>40346.03000000003</v>
      </c>
      <c r="M762" s="69">
        <f t="shared" si="21"/>
        <v>0</v>
      </c>
    </row>
    <row r="763" spans="1:13" ht="47.25" outlineLevel="3">
      <c r="A763" s="42" t="s">
        <v>644</v>
      </c>
      <c r="B763" s="43" t="s">
        <v>239</v>
      </c>
      <c r="C763" s="43" t="s">
        <v>146</v>
      </c>
      <c r="D763" s="43" t="s">
        <v>319</v>
      </c>
      <c r="E763" s="43" t="s">
        <v>1</v>
      </c>
      <c r="F763" s="12">
        <f>F764+F767</f>
        <v>28135196.18</v>
      </c>
      <c r="G763" s="1"/>
      <c r="I763" s="12">
        <v>28074972.76</v>
      </c>
      <c r="J763" s="1"/>
      <c r="L763" s="69">
        <f t="shared" si="20"/>
        <v>60223.41999999806</v>
      </c>
      <c r="M763" s="69">
        <f t="shared" si="21"/>
        <v>0</v>
      </c>
    </row>
    <row r="764" spans="1:13" ht="47.25" outlineLevel="4">
      <c r="A764" s="19" t="s">
        <v>581</v>
      </c>
      <c r="B764" s="20" t="s">
        <v>239</v>
      </c>
      <c r="C764" s="20" t="s">
        <v>146</v>
      </c>
      <c r="D764" s="20" t="s">
        <v>320</v>
      </c>
      <c r="E764" s="20" t="s">
        <v>1</v>
      </c>
      <c r="F764" s="13">
        <f>F765</f>
        <v>27779900</v>
      </c>
      <c r="G764" s="2"/>
      <c r="I764" s="13">
        <v>27779900</v>
      </c>
      <c r="J764" s="2"/>
      <c r="L764" s="69">
        <f t="shared" si="20"/>
        <v>0</v>
      </c>
      <c r="M764" s="69">
        <f t="shared" si="21"/>
        <v>0</v>
      </c>
    </row>
    <row r="765" spans="1:13" ht="63" outlineLevel="5">
      <c r="A765" s="19" t="s">
        <v>443</v>
      </c>
      <c r="B765" s="20" t="s">
        <v>239</v>
      </c>
      <c r="C765" s="20" t="s">
        <v>146</v>
      </c>
      <c r="D765" s="20" t="s">
        <v>321</v>
      </c>
      <c r="E765" s="20" t="s">
        <v>1</v>
      </c>
      <c r="F765" s="13">
        <f>F766</f>
        <v>27779900</v>
      </c>
      <c r="G765" s="2"/>
      <c r="I765" s="13">
        <v>27779900</v>
      </c>
      <c r="J765" s="2"/>
      <c r="L765" s="69">
        <f t="shared" si="20"/>
        <v>0</v>
      </c>
      <c r="M765" s="69">
        <f t="shared" si="21"/>
        <v>0</v>
      </c>
    </row>
    <row r="766" spans="1:13" ht="31.5" outlineLevel="6">
      <c r="A766" s="19" t="s">
        <v>692</v>
      </c>
      <c r="B766" s="20" t="s">
        <v>239</v>
      </c>
      <c r="C766" s="20" t="s">
        <v>146</v>
      </c>
      <c r="D766" s="20" t="s">
        <v>321</v>
      </c>
      <c r="E766" s="20" t="s">
        <v>70</v>
      </c>
      <c r="F766" s="13">
        <f>'Приложение_7 '!G834</f>
        <v>27779900</v>
      </c>
      <c r="G766" s="2"/>
      <c r="I766" s="13">
        <v>27779900</v>
      </c>
      <c r="J766" s="2"/>
      <c r="L766" s="69">
        <f t="shared" si="20"/>
        <v>0</v>
      </c>
      <c r="M766" s="69">
        <f t="shared" si="21"/>
        <v>0</v>
      </c>
    </row>
    <row r="767" spans="1:13" ht="15.75" outlineLevel="4">
      <c r="A767" s="19" t="s">
        <v>560</v>
      </c>
      <c r="B767" s="20" t="s">
        <v>239</v>
      </c>
      <c r="C767" s="20" t="s">
        <v>146</v>
      </c>
      <c r="D767" s="20" t="s">
        <v>322</v>
      </c>
      <c r="E767" s="20" t="s">
        <v>1</v>
      </c>
      <c r="F767" s="13">
        <f>F768</f>
        <v>355296.18</v>
      </c>
      <c r="G767" s="2"/>
      <c r="I767" s="13">
        <v>295072.76</v>
      </c>
      <c r="J767" s="2"/>
      <c r="L767" s="69">
        <f t="shared" si="20"/>
        <v>60223.419999999984</v>
      </c>
      <c r="M767" s="69">
        <f t="shared" si="21"/>
        <v>0</v>
      </c>
    </row>
    <row r="768" spans="1:13" ht="63" outlineLevel="5">
      <c r="A768" s="19" t="s">
        <v>432</v>
      </c>
      <c r="B768" s="20" t="s">
        <v>239</v>
      </c>
      <c r="C768" s="20" t="s">
        <v>146</v>
      </c>
      <c r="D768" s="20" t="s">
        <v>323</v>
      </c>
      <c r="E768" s="20" t="s">
        <v>1</v>
      </c>
      <c r="F768" s="13">
        <f>F769</f>
        <v>355296.18</v>
      </c>
      <c r="G768" s="2"/>
      <c r="I768" s="13">
        <v>295072.76</v>
      </c>
      <c r="J768" s="2"/>
      <c r="L768" s="69">
        <f t="shared" si="20"/>
        <v>60223.419999999984</v>
      </c>
      <c r="M768" s="69">
        <f t="shared" si="21"/>
        <v>0</v>
      </c>
    </row>
    <row r="769" spans="1:13" ht="31.5" outlineLevel="6">
      <c r="A769" s="19" t="s">
        <v>692</v>
      </c>
      <c r="B769" s="20" t="s">
        <v>239</v>
      </c>
      <c r="C769" s="20" t="s">
        <v>146</v>
      </c>
      <c r="D769" s="20" t="s">
        <v>323</v>
      </c>
      <c r="E769" s="20" t="s">
        <v>70</v>
      </c>
      <c r="F769" s="13">
        <f>'Приложение_7 '!G837</f>
        <v>355296.18</v>
      </c>
      <c r="G769" s="2"/>
      <c r="I769" s="13">
        <v>295072.76</v>
      </c>
      <c r="J769" s="2"/>
      <c r="L769" s="69">
        <f t="shared" si="20"/>
        <v>60223.419999999984</v>
      </c>
      <c r="M769" s="69">
        <f t="shared" si="21"/>
        <v>0</v>
      </c>
    </row>
    <row r="770" spans="1:13" ht="15.75" outlineLevel="3">
      <c r="A770" s="42" t="s">
        <v>645</v>
      </c>
      <c r="B770" s="43" t="s">
        <v>239</v>
      </c>
      <c r="C770" s="43" t="s">
        <v>146</v>
      </c>
      <c r="D770" s="43" t="s">
        <v>324</v>
      </c>
      <c r="E770" s="43" t="s">
        <v>1</v>
      </c>
      <c r="F770" s="12">
        <f>F771+F776+F779+F782</f>
        <v>21535798</v>
      </c>
      <c r="G770" s="12">
        <f>G771+G776+G779+G782</f>
        <v>15095800</v>
      </c>
      <c r="I770" s="12">
        <v>21174817.76</v>
      </c>
      <c r="J770" s="1">
        <f>J771+J776</f>
        <v>15095800</v>
      </c>
      <c r="L770" s="69">
        <f t="shared" si="20"/>
        <v>360980.23999999836</v>
      </c>
      <c r="M770" s="69">
        <f t="shared" si="21"/>
        <v>0</v>
      </c>
    </row>
    <row r="771" spans="1:13" ht="31.5" outlineLevel="4">
      <c r="A771" s="19" t="s">
        <v>582</v>
      </c>
      <c r="B771" s="20" t="s">
        <v>239</v>
      </c>
      <c r="C771" s="20" t="s">
        <v>146</v>
      </c>
      <c r="D771" s="20" t="s">
        <v>325</v>
      </c>
      <c r="E771" s="20" t="s">
        <v>1</v>
      </c>
      <c r="F771" s="13">
        <f>F772+F774</f>
        <v>7385545</v>
      </c>
      <c r="G771" s="13">
        <f>G772+G774</f>
        <v>1601600</v>
      </c>
      <c r="I771" s="13">
        <v>7385545</v>
      </c>
      <c r="J771" s="2">
        <f>J772</f>
        <v>1601600</v>
      </c>
      <c r="L771" s="69">
        <f t="shared" si="20"/>
        <v>0</v>
      </c>
      <c r="M771" s="69">
        <f t="shared" si="21"/>
        <v>0</v>
      </c>
    </row>
    <row r="772" spans="1:13" ht="78.75" outlineLevel="5">
      <c r="A772" s="19" t="s">
        <v>470</v>
      </c>
      <c r="B772" s="20" t="s">
        <v>239</v>
      </c>
      <c r="C772" s="20" t="s">
        <v>146</v>
      </c>
      <c r="D772" s="20" t="s">
        <v>326</v>
      </c>
      <c r="E772" s="20" t="s">
        <v>1</v>
      </c>
      <c r="F772" s="13">
        <f>F773</f>
        <v>1601600</v>
      </c>
      <c r="G772" s="13">
        <f>G773</f>
        <v>1601600</v>
      </c>
      <c r="I772" s="13">
        <v>1601600</v>
      </c>
      <c r="J772" s="13">
        <v>1601600</v>
      </c>
      <c r="L772" s="69">
        <f t="shared" si="20"/>
        <v>0</v>
      </c>
      <c r="M772" s="69">
        <f t="shared" si="21"/>
        <v>0</v>
      </c>
    </row>
    <row r="773" spans="1:13" ht="31.5" outlineLevel="6">
      <c r="A773" s="19" t="s">
        <v>692</v>
      </c>
      <c r="B773" s="20" t="s">
        <v>239</v>
      </c>
      <c r="C773" s="20" t="s">
        <v>146</v>
      </c>
      <c r="D773" s="20" t="s">
        <v>326</v>
      </c>
      <c r="E773" s="20" t="s">
        <v>70</v>
      </c>
      <c r="F773" s="13">
        <f>'Приложение_7 '!G841</f>
        <v>1601600</v>
      </c>
      <c r="G773" s="13">
        <f>F773</f>
        <v>1601600</v>
      </c>
      <c r="I773" s="13">
        <v>1601600</v>
      </c>
      <c r="J773" s="13">
        <v>1601600</v>
      </c>
      <c r="L773" s="69">
        <f t="shared" si="20"/>
        <v>0</v>
      </c>
      <c r="M773" s="69">
        <f t="shared" si="21"/>
        <v>0</v>
      </c>
    </row>
    <row r="774" spans="1:13" ht="78.75" outlineLevel="5">
      <c r="A774" s="19" t="s">
        <v>470</v>
      </c>
      <c r="B774" s="20" t="s">
        <v>239</v>
      </c>
      <c r="C774" s="20" t="s">
        <v>146</v>
      </c>
      <c r="D774" s="20" t="s">
        <v>327</v>
      </c>
      <c r="E774" s="20" t="s">
        <v>1</v>
      </c>
      <c r="F774" s="13">
        <f>F775</f>
        <v>5783945</v>
      </c>
      <c r="G774" s="2"/>
      <c r="I774" s="13">
        <v>5783945</v>
      </c>
      <c r="J774" s="2"/>
      <c r="L774" s="69">
        <f t="shared" si="20"/>
        <v>0</v>
      </c>
      <c r="M774" s="69">
        <f t="shared" si="21"/>
        <v>0</v>
      </c>
    </row>
    <row r="775" spans="1:13" ht="31.5" outlineLevel="6">
      <c r="A775" s="19" t="s">
        <v>692</v>
      </c>
      <c r="B775" s="20" t="s">
        <v>239</v>
      </c>
      <c r="C775" s="20" t="s">
        <v>146</v>
      </c>
      <c r="D775" s="20" t="s">
        <v>327</v>
      </c>
      <c r="E775" s="20" t="s">
        <v>70</v>
      </c>
      <c r="F775" s="13">
        <f>'Приложение_7 '!G843</f>
        <v>5783945</v>
      </c>
      <c r="G775" s="2"/>
      <c r="I775" s="13">
        <v>5783945</v>
      </c>
      <c r="J775" s="2"/>
      <c r="L775" s="69">
        <f t="shared" si="20"/>
        <v>0</v>
      </c>
      <c r="M775" s="69">
        <f t="shared" si="21"/>
        <v>0</v>
      </c>
    </row>
    <row r="776" spans="1:13" ht="31.5" outlineLevel="4">
      <c r="A776" s="19" t="s">
        <v>583</v>
      </c>
      <c r="B776" s="20" t="s">
        <v>239</v>
      </c>
      <c r="C776" s="20" t="s">
        <v>146</v>
      </c>
      <c r="D776" s="20" t="s">
        <v>328</v>
      </c>
      <c r="E776" s="20" t="s">
        <v>1</v>
      </c>
      <c r="F776" s="13">
        <f>F777</f>
        <v>13494200</v>
      </c>
      <c r="G776" s="13">
        <f>G777</f>
        <v>13494200</v>
      </c>
      <c r="I776" s="13">
        <v>13494200</v>
      </c>
      <c r="J776" s="2">
        <f>J777</f>
        <v>13494200</v>
      </c>
      <c r="L776" s="69">
        <f t="shared" si="20"/>
        <v>0</v>
      </c>
      <c r="M776" s="69">
        <f t="shared" si="21"/>
        <v>0</v>
      </c>
    </row>
    <row r="777" spans="1:13" ht="31.5" outlineLevel="5">
      <c r="A777" s="19" t="s">
        <v>471</v>
      </c>
      <c r="B777" s="20" t="s">
        <v>239</v>
      </c>
      <c r="C777" s="20" t="s">
        <v>146</v>
      </c>
      <c r="D777" s="20" t="s">
        <v>329</v>
      </c>
      <c r="E777" s="20" t="s">
        <v>1</v>
      </c>
      <c r="F777" s="13">
        <f>F778</f>
        <v>13494200</v>
      </c>
      <c r="G777" s="13">
        <f>G778</f>
        <v>13494200</v>
      </c>
      <c r="I777" s="13">
        <v>13494200</v>
      </c>
      <c r="J777" s="13">
        <v>13494200</v>
      </c>
      <c r="L777" s="69">
        <f t="shared" si="20"/>
        <v>0</v>
      </c>
      <c r="M777" s="69">
        <f t="shared" si="21"/>
        <v>0</v>
      </c>
    </row>
    <row r="778" spans="1:13" ht="31.5" outlineLevel="6">
      <c r="A778" s="19" t="s">
        <v>692</v>
      </c>
      <c r="B778" s="20" t="s">
        <v>239</v>
      </c>
      <c r="C778" s="20" t="s">
        <v>146</v>
      </c>
      <c r="D778" s="20" t="s">
        <v>329</v>
      </c>
      <c r="E778" s="20" t="s">
        <v>70</v>
      </c>
      <c r="F778" s="13">
        <f>'Приложение_7 '!G846</f>
        <v>13494200</v>
      </c>
      <c r="G778" s="13">
        <f>F778</f>
        <v>13494200</v>
      </c>
      <c r="I778" s="13">
        <v>13494200</v>
      </c>
      <c r="J778" s="13">
        <v>13494200</v>
      </c>
      <c r="L778" s="69">
        <f t="shared" si="20"/>
        <v>0</v>
      </c>
      <c r="M778" s="69">
        <f t="shared" si="21"/>
        <v>0</v>
      </c>
    </row>
    <row r="779" spans="1:13" ht="31.5" outlineLevel="4">
      <c r="A779" s="19" t="s">
        <v>584</v>
      </c>
      <c r="B779" s="20" t="s">
        <v>239</v>
      </c>
      <c r="C779" s="20" t="s">
        <v>146</v>
      </c>
      <c r="D779" s="20" t="s">
        <v>330</v>
      </c>
      <c r="E779" s="20" t="s">
        <v>1</v>
      </c>
      <c r="F779" s="13">
        <f>F780</f>
        <v>463553</v>
      </c>
      <c r="G779" s="2"/>
      <c r="I779" s="13">
        <v>295072.76</v>
      </c>
      <c r="J779" s="2"/>
      <c r="L779" s="69">
        <f t="shared" si="20"/>
        <v>168480.24</v>
      </c>
      <c r="M779" s="69">
        <f t="shared" si="21"/>
        <v>0</v>
      </c>
    </row>
    <row r="780" spans="1:13" ht="63" outlineLevel="5">
      <c r="A780" s="19" t="s">
        <v>432</v>
      </c>
      <c r="B780" s="20" t="s">
        <v>239</v>
      </c>
      <c r="C780" s="20" t="s">
        <v>146</v>
      </c>
      <c r="D780" s="20" t="s">
        <v>331</v>
      </c>
      <c r="E780" s="20" t="s">
        <v>1</v>
      </c>
      <c r="F780" s="13">
        <f>F781</f>
        <v>463553</v>
      </c>
      <c r="G780" s="2"/>
      <c r="I780" s="13">
        <v>295072.76</v>
      </c>
      <c r="J780" s="2"/>
      <c r="L780" s="69">
        <f aca="true" t="shared" si="22" ref="L780:L852">F780-I780</f>
        <v>168480.24</v>
      </c>
      <c r="M780" s="69">
        <f aca="true" t="shared" si="23" ref="M780:M852">G780-J780</f>
        <v>0</v>
      </c>
    </row>
    <row r="781" spans="1:13" ht="31.5" outlineLevel="6">
      <c r="A781" s="19" t="s">
        <v>692</v>
      </c>
      <c r="B781" s="20" t="s">
        <v>239</v>
      </c>
      <c r="C781" s="20" t="s">
        <v>146</v>
      </c>
      <c r="D781" s="20" t="s">
        <v>331</v>
      </c>
      <c r="E781" s="20" t="s">
        <v>70</v>
      </c>
      <c r="F781" s="13">
        <f>'Приложение_7 '!G849</f>
        <v>463553</v>
      </c>
      <c r="G781" s="2"/>
      <c r="I781" s="13">
        <v>295072.76</v>
      </c>
      <c r="J781" s="2"/>
      <c r="L781" s="69">
        <f t="shared" si="22"/>
        <v>168480.24</v>
      </c>
      <c r="M781" s="69">
        <f t="shared" si="23"/>
        <v>0</v>
      </c>
    </row>
    <row r="782" spans="1:13" ht="15.75" outlineLevel="6">
      <c r="A782" s="36" t="s">
        <v>965</v>
      </c>
      <c r="B782" s="37" t="s">
        <v>239</v>
      </c>
      <c r="C782" s="37" t="s">
        <v>146</v>
      </c>
      <c r="D782" s="37" t="s">
        <v>966</v>
      </c>
      <c r="E782" s="37" t="s">
        <v>1</v>
      </c>
      <c r="F782" s="13">
        <f>F783</f>
        <v>192500</v>
      </c>
      <c r="G782" s="2"/>
      <c r="I782" s="13"/>
      <c r="J782" s="2"/>
      <c r="L782" s="69"/>
      <c r="M782" s="69"/>
    </row>
    <row r="783" spans="1:13" ht="63" outlineLevel="6">
      <c r="A783" s="36" t="s">
        <v>443</v>
      </c>
      <c r="B783" s="37" t="s">
        <v>239</v>
      </c>
      <c r="C783" s="37" t="s">
        <v>146</v>
      </c>
      <c r="D783" s="37" t="s">
        <v>967</v>
      </c>
      <c r="E783" s="37" t="s">
        <v>1</v>
      </c>
      <c r="F783" s="13">
        <f>F784</f>
        <v>192500</v>
      </c>
      <c r="G783" s="2"/>
      <c r="I783" s="13"/>
      <c r="J783" s="2"/>
      <c r="L783" s="69"/>
      <c r="M783" s="69"/>
    </row>
    <row r="784" spans="1:13" ht="31.5" outlineLevel="6">
      <c r="A784" s="36" t="s">
        <v>692</v>
      </c>
      <c r="B784" s="37" t="s">
        <v>239</v>
      </c>
      <c r="C784" s="37" t="s">
        <v>146</v>
      </c>
      <c r="D784" s="37" t="s">
        <v>967</v>
      </c>
      <c r="E784" s="37" t="s">
        <v>70</v>
      </c>
      <c r="F784" s="13">
        <f>'Приложение_7 '!G852</f>
        <v>192500</v>
      </c>
      <c r="G784" s="2"/>
      <c r="I784" s="13"/>
      <c r="J784" s="2"/>
      <c r="L784" s="69"/>
      <c r="M784" s="69"/>
    </row>
    <row r="785" spans="1:13" ht="31.5" outlineLevel="2">
      <c r="A785" s="42" t="s">
        <v>655</v>
      </c>
      <c r="B785" s="43" t="s">
        <v>239</v>
      </c>
      <c r="C785" s="43" t="s">
        <v>146</v>
      </c>
      <c r="D785" s="43" t="s">
        <v>90</v>
      </c>
      <c r="E785" s="43" t="s">
        <v>1</v>
      </c>
      <c r="F785" s="12">
        <f>F786</f>
        <v>664700</v>
      </c>
      <c r="G785" s="1"/>
      <c r="I785" s="12">
        <v>694700</v>
      </c>
      <c r="J785" s="1"/>
      <c r="L785" s="69">
        <f t="shared" si="22"/>
        <v>-30000</v>
      </c>
      <c r="M785" s="69">
        <f t="shared" si="23"/>
        <v>0</v>
      </c>
    </row>
    <row r="786" spans="1:13" ht="47.25" outlineLevel="3">
      <c r="A786" s="42" t="s">
        <v>620</v>
      </c>
      <c r="B786" s="43" t="s">
        <v>239</v>
      </c>
      <c r="C786" s="43" t="s">
        <v>146</v>
      </c>
      <c r="D786" s="43" t="s">
        <v>91</v>
      </c>
      <c r="E786" s="43" t="s">
        <v>1</v>
      </c>
      <c r="F786" s="12">
        <f>F787</f>
        <v>664700</v>
      </c>
      <c r="G786" s="1"/>
      <c r="I786" s="12">
        <v>694700</v>
      </c>
      <c r="J786" s="1"/>
      <c r="L786" s="69">
        <f t="shared" si="22"/>
        <v>-30000</v>
      </c>
      <c r="M786" s="69">
        <f t="shared" si="23"/>
        <v>0</v>
      </c>
    </row>
    <row r="787" spans="1:13" ht="31.5" outlineLevel="4">
      <c r="A787" s="19" t="s">
        <v>510</v>
      </c>
      <c r="B787" s="20" t="s">
        <v>239</v>
      </c>
      <c r="C787" s="20" t="s">
        <v>146</v>
      </c>
      <c r="D787" s="20" t="s">
        <v>100</v>
      </c>
      <c r="E787" s="20" t="s">
        <v>1</v>
      </c>
      <c r="F787" s="13">
        <f>F788</f>
        <v>664700</v>
      </c>
      <c r="G787" s="2"/>
      <c r="I787" s="13">
        <v>694700</v>
      </c>
      <c r="J787" s="2"/>
      <c r="L787" s="69">
        <f t="shared" si="22"/>
        <v>-30000</v>
      </c>
      <c r="M787" s="69">
        <f t="shared" si="23"/>
        <v>0</v>
      </c>
    </row>
    <row r="788" spans="1:13" ht="31.5" outlineLevel="5">
      <c r="A788" s="19" t="s">
        <v>441</v>
      </c>
      <c r="B788" s="20" t="s">
        <v>239</v>
      </c>
      <c r="C788" s="20" t="s">
        <v>146</v>
      </c>
      <c r="D788" s="20" t="s">
        <v>101</v>
      </c>
      <c r="E788" s="20" t="s">
        <v>1</v>
      </c>
      <c r="F788" s="13">
        <f>F789</f>
        <v>664700</v>
      </c>
      <c r="G788" s="2"/>
      <c r="I788" s="13">
        <v>694700</v>
      </c>
      <c r="J788" s="2"/>
      <c r="L788" s="69">
        <f t="shared" si="22"/>
        <v>-30000</v>
      </c>
      <c r="M788" s="69">
        <f t="shared" si="23"/>
        <v>0</v>
      </c>
    </row>
    <row r="789" spans="1:13" ht="31.5" outlineLevel="6">
      <c r="A789" s="19" t="s">
        <v>692</v>
      </c>
      <c r="B789" s="20" t="s">
        <v>239</v>
      </c>
      <c r="C789" s="20" t="s">
        <v>146</v>
      </c>
      <c r="D789" s="20" t="s">
        <v>101</v>
      </c>
      <c r="E789" s="20" t="s">
        <v>70</v>
      </c>
      <c r="F789" s="13">
        <f>'Приложение_7 '!G857</f>
        <v>664700</v>
      </c>
      <c r="G789" s="2"/>
      <c r="I789" s="13">
        <v>694700</v>
      </c>
      <c r="J789" s="2"/>
      <c r="L789" s="69">
        <f t="shared" si="22"/>
        <v>-30000</v>
      </c>
      <c r="M789" s="69">
        <f t="shared" si="23"/>
        <v>0</v>
      </c>
    </row>
    <row r="790" spans="1:13" s="68" customFormat="1" ht="15.75">
      <c r="A790" s="42" t="s">
        <v>698</v>
      </c>
      <c r="B790" s="43" t="s">
        <v>165</v>
      </c>
      <c r="C790" s="43" t="s">
        <v>3</v>
      </c>
      <c r="D790" s="43" t="s">
        <v>4</v>
      </c>
      <c r="E790" s="43" t="s">
        <v>1</v>
      </c>
      <c r="F790" s="12">
        <f>F791</f>
        <v>215968078.14</v>
      </c>
      <c r="G790" s="12">
        <f>G791</f>
        <v>18077130.029999997</v>
      </c>
      <c r="I790" s="12">
        <v>196660262.66</v>
      </c>
      <c r="J790" s="1">
        <f>J791</f>
        <v>17993119.52</v>
      </c>
      <c r="L790" s="69">
        <f t="shared" si="22"/>
        <v>19307815.47999999</v>
      </c>
      <c r="M790" s="69">
        <f t="shared" si="23"/>
        <v>84010.50999999791</v>
      </c>
    </row>
    <row r="791" spans="1:13" s="68" customFormat="1" ht="19.5" customHeight="1" outlineLevel="1">
      <c r="A791" s="42" t="s">
        <v>681</v>
      </c>
      <c r="B791" s="43" t="s">
        <v>165</v>
      </c>
      <c r="C791" s="43" t="s">
        <v>2</v>
      </c>
      <c r="D791" s="43" t="s">
        <v>4</v>
      </c>
      <c r="E791" s="43" t="s">
        <v>1</v>
      </c>
      <c r="F791" s="12">
        <f>F792+F798+F865</f>
        <v>215968078.14</v>
      </c>
      <c r="G791" s="12">
        <f>G792+G798+G865</f>
        <v>18077130.029999997</v>
      </c>
      <c r="I791" s="12">
        <v>196660262.66</v>
      </c>
      <c r="J791" s="1">
        <f>J798</f>
        <v>17993119.52</v>
      </c>
      <c r="L791" s="69">
        <f t="shared" si="22"/>
        <v>19307815.47999999</v>
      </c>
      <c r="M791" s="69">
        <f t="shared" si="23"/>
        <v>84010.50999999791</v>
      </c>
    </row>
    <row r="792" spans="1:13" ht="47.25" outlineLevel="2">
      <c r="A792" s="42" t="s">
        <v>615</v>
      </c>
      <c r="B792" s="43" t="s">
        <v>165</v>
      </c>
      <c r="C792" s="43" t="s">
        <v>2</v>
      </c>
      <c r="D792" s="43" t="s">
        <v>67</v>
      </c>
      <c r="E792" s="43" t="s">
        <v>1</v>
      </c>
      <c r="F792" s="12">
        <f>F793</f>
        <v>609776.79</v>
      </c>
      <c r="G792" s="1"/>
      <c r="I792" s="12">
        <v>609776.79</v>
      </c>
      <c r="J792" s="1"/>
      <c r="L792" s="69">
        <f t="shared" si="22"/>
        <v>0</v>
      </c>
      <c r="M792" s="69">
        <f t="shared" si="23"/>
        <v>0</v>
      </c>
    </row>
    <row r="793" spans="1:13" ht="63" outlineLevel="4">
      <c r="A793" s="19" t="s">
        <v>586</v>
      </c>
      <c r="B793" s="20" t="s">
        <v>165</v>
      </c>
      <c r="C793" s="20" t="s">
        <v>2</v>
      </c>
      <c r="D793" s="20" t="s">
        <v>332</v>
      </c>
      <c r="E793" s="20" t="s">
        <v>1</v>
      </c>
      <c r="F793" s="13">
        <f>F794+F796</f>
        <v>609776.79</v>
      </c>
      <c r="G793" s="2"/>
      <c r="I793" s="13">
        <v>609776.79</v>
      </c>
      <c r="J793" s="2"/>
      <c r="L793" s="69">
        <f t="shared" si="22"/>
        <v>0</v>
      </c>
      <c r="M793" s="69">
        <f t="shared" si="23"/>
        <v>0</v>
      </c>
    </row>
    <row r="794" spans="1:13" ht="31.5" outlineLevel="5">
      <c r="A794" s="19" t="s">
        <v>456</v>
      </c>
      <c r="B794" s="20" t="s">
        <v>165</v>
      </c>
      <c r="C794" s="20" t="s">
        <v>2</v>
      </c>
      <c r="D794" s="20" t="s">
        <v>333</v>
      </c>
      <c r="E794" s="20" t="s">
        <v>1</v>
      </c>
      <c r="F794" s="13">
        <f>F795</f>
        <v>491531.49</v>
      </c>
      <c r="G794" s="2"/>
      <c r="I794" s="13">
        <v>491531.49</v>
      </c>
      <c r="J794" s="2"/>
      <c r="L794" s="69">
        <f t="shared" si="22"/>
        <v>0</v>
      </c>
      <c r="M794" s="69">
        <f t="shared" si="23"/>
        <v>0</v>
      </c>
    </row>
    <row r="795" spans="1:13" ht="31.5" outlineLevel="6">
      <c r="A795" s="19" t="s">
        <v>692</v>
      </c>
      <c r="B795" s="20" t="s">
        <v>165</v>
      </c>
      <c r="C795" s="20" t="s">
        <v>2</v>
      </c>
      <c r="D795" s="20" t="s">
        <v>333</v>
      </c>
      <c r="E795" s="20" t="s">
        <v>70</v>
      </c>
      <c r="F795" s="13">
        <f>'Приложение_7 '!G994</f>
        <v>491531.49</v>
      </c>
      <c r="G795" s="2"/>
      <c r="I795" s="13">
        <v>491531.49</v>
      </c>
      <c r="J795" s="2"/>
      <c r="L795" s="69">
        <f t="shared" si="22"/>
        <v>0</v>
      </c>
      <c r="M795" s="69">
        <f t="shared" si="23"/>
        <v>0</v>
      </c>
    </row>
    <row r="796" spans="1:13" ht="31.5" outlineLevel="5">
      <c r="A796" s="19" t="s">
        <v>441</v>
      </c>
      <c r="B796" s="20" t="s">
        <v>165</v>
      </c>
      <c r="C796" s="20" t="s">
        <v>2</v>
      </c>
      <c r="D796" s="20" t="s">
        <v>334</v>
      </c>
      <c r="E796" s="20" t="s">
        <v>1</v>
      </c>
      <c r="F796" s="13">
        <f>F797</f>
        <v>118245.3</v>
      </c>
      <c r="G796" s="2"/>
      <c r="I796" s="13">
        <v>118245.3</v>
      </c>
      <c r="J796" s="2"/>
      <c r="L796" s="69">
        <f t="shared" si="22"/>
        <v>0</v>
      </c>
      <c r="M796" s="69">
        <f t="shared" si="23"/>
        <v>0</v>
      </c>
    </row>
    <row r="797" spans="1:13" ht="31.5" outlineLevel="6">
      <c r="A797" s="19" t="s">
        <v>692</v>
      </c>
      <c r="B797" s="20" t="s">
        <v>165</v>
      </c>
      <c r="C797" s="20" t="s">
        <v>2</v>
      </c>
      <c r="D797" s="20" t="s">
        <v>334</v>
      </c>
      <c r="E797" s="20" t="s">
        <v>70</v>
      </c>
      <c r="F797" s="13">
        <f>'Приложение_7 '!G996</f>
        <v>118245.3</v>
      </c>
      <c r="G797" s="2"/>
      <c r="I797" s="13">
        <v>118245.3</v>
      </c>
      <c r="J797" s="2"/>
      <c r="L797" s="69">
        <f t="shared" si="22"/>
        <v>0</v>
      </c>
      <c r="M797" s="69">
        <f t="shared" si="23"/>
        <v>0</v>
      </c>
    </row>
    <row r="798" spans="1:13" ht="47.25" outlineLevel="2">
      <c r="A798" s="42" t="s">
        <v>657</v>
      </c>
      <c r="B798" s="43" t="s">
        <v>165</v>
      </c>
      <c r="C798" s="43" t="s">
        <v>2</v>
      </c>
      <c r="D798" s="43" t="s">
        <v>279</v>
      </c>
      <c r="E798" s="43" t="s">
        <v>1</v>
      </c>
      <c r="F798" s="12">
        <f>F799+F816+F840+F861</f>
        <v>214350098.35</v>
      </c>
      <c r="G798" s="12">
        <f>G799+G816+G840+G861</f>
        <v>18077130.029999997</v>
      </c>
      <c r="I798" s="12">
        <v>195042282.87</v>
      </c>
      <c r="J798" s="1">
        <f>J799+J816+J840</f>
        <v>17993119.52</v>
      </c>
      <c r="L798" s="69">
        <f t="shared" si="22"/>
        <v>19307815.47999999</v>
      </c>
      <c r="M798" s="69">
        <f t="shared" si="23"/>
        <v>84010.50999999791</v>
      </c>
    </row>
    <row r="799" spans="1:13" ht="47.25" outlineLevel="3">
      <c r="A799" s="42" t="s">
        <v>639</v>
      </c>
      <c r="B799" s="43" t="s">
        <v>165</v>
      </c>
      <c r="C799" s="43" t="s">
        <v>2</v>
      </c>
      <c r="D799" s="43" t="s">
        <v>280</v>
      </c>
      <c r="E799" s="43" t="s">
        <v>1</v>
      </c>
      <c r="F799" s="12">
        <f>F800+F804+F813</f>
        <v>122989590.98</v>
      </c>
      <c r="G799" s="12">
        <f>G800+G804+G813</f>
        <v>11590400.52</v>
      </c>
      <c r="I799" s="12">
        <v>122805861.71</v>
      </c>
      <c r="J799" s="1">
        <f>J804</f>
        <v>11540400.52</v>
      </c>
      <c r="L799" s="69">
        <f t="shared" si="22"/>
        <v>183729.27000001073</v>
      </c>
      <c r="M799" s="69">
        <f t="shared" si="23"/>
        <v>50000</v>
      </c>
    </row>
    <row r="800" spans="1:13" ht="31.5" outlineLevel="4">
      <c r="A800" s="19" t="s">
        <v>587</v>
      </c>
      <c r="B800" s="20" t="s">
        <v>165</v>
      </c>
      <c r="C800" s="20" t="s">
        <v>2</v>
      </c>
      <c r="D800" s="20" t="s">
        <v>335</v>
      </c>
      <c r="E800" s="20" t="s">
        <v>1</v>
      </c>
      <c r="F800" s="13">
        <f>F801</f>
        <v>4923720</v>
      </c>
      <c r="G800" s="2"/>
      <c r="I800" s="13">
        <v>4923720</v>
      </c>
      <c r="J800" s="2"/>
      <c r="L800" s="69">
        <f t="shared" si="22"/>
        <v>0</v>
      </c>
      <c r="M800" s="69">
        <f t="shared" si="23"/>
        <v>0</v>
      </c>
    </row>
    <row r="801" spans="1:13" ht="31.5" outlineLevel="5">
      <c r="A801" s="19" t="s">
        <v>441</v>
      </c>
      <c r="B801" s="20" t="s">
        <v>165</v>
      </c>
      <c r="C801" s="20" t="s">
        <v>2</v>
      </c>
      <c r="D801" s="20" t="s">
        <v>336</v>
      </c>
      <c r="E801" s="20" t="s">
        <v>1</v>
      </c>
      <c r="F801" s="13">
        <f>F802+F803</f>
        <v>4923720</v>
      </c>
      <c r="G801" s="2"/>
      <c r="I801" s="13">
        <v>4923720</v>
      </c>
      <c r="J801" s="2"/>
      <c r="L801" s="69">
        <f t="shared" si="22"/>
        <v>0</v>
      </c>
      <c r="M801" s="69">
        <f t="shared" si="23"/>
        <v>0</v>
      </c>
    </row>
    <row r="802" spans="1:13" ht="31.5" outlineLevel="6">
      <c r="A802" s="19" t="s">
        <v>689</v>
      </c>
      <c r="B802" s="20" t="s">
        <v>165</v>
      </c>
      <c r="C802" s="20" t="s">
        <v>2</v>
      </c>
      <c r="D802" s="20" t="s">
        <v>336</v>
      </c>
      <c r="E802" s="20" t="s">
        <v>17</v>
      </c>
      <c r="F802" s="13">
        <f>'Приложение_7 '!G1001</f>
        <v>1512720</v>
      </c>
      <c r="G802" s="2"/>
      <c r="I802" s="13">
        <v>2262720</v>
      </c>
      <c r="J802" s="2"/>
      <c r="L802" s="69">
        <f t="shared" si="22"/>
        <v>-750000</v>
      </c>
      <c r="M802" s="69">
        <f t="shared" si="23"/>
        <v>0</v>
      </c>
    </row>
    <row r="803" spans="1:13" ht="31.5" outlineLevel="6">
      <c r="A803" s="19" t="s">
        <v>692</v>
      </c>
      <c r="B803" s="20" t="s">
        <v>165</v>
      </c>
      <c r="C803" s="20" t="s">
        <v>2</v>
      </c>
      <c r="D803" s="20" t="s">
        <v>336</v>
      </c>
      <c r="E803" s="20" t="s">
        <v>70</v>
      </c>
      <c r="F803" s="13">
        <f>'Приложение_7 '!G1002</f>
        <v>3411000</v>
      </c>
      <c r="G803" s="2"/>
      <c r="I803" s="13">
        <v>2661000</v>
      </c>
      <c r="J803" s="2"/>
      <c r="L803" s="69">
        <f t="shared" si="22"/>
        <v>750000</v>
      </c>
      <c r="M803" s="69">
        <f t="shared" si="23"/>
        <v>0</v>
      </c>
    </row>
    <row r="804" spans="1:13" ht="47.25" outlineLevel="4">
      <c r="A804" s="19" t="s">
        <v>588</v>
      </c>
      <c r="B804" s="20" t="s">
        <v>165</v>
      </c>
      <c r="C804" s="20" t="s">
        <v>2</v>
      </c>
      <c r="D804" s="20" t="s">
        <v>337</v>
      </c>
      <c r="E804" s="20" t="s">
        <v>1</v>
      </c>
      <c r="F804" s="13">
        <f>F805+F807+F809+F811</f>
        <v>116681059.71000001</v>
      </c>
      <c r="G804" s="13">
        <f>G805+G807+G809+G811</f>
        <v>11590400.52</v>
      </c>
      <c r="I804" s="13">
        <v>116631059.71</v>
      </c>
      <c r="J804" s="2">
        <f>J807</f>
        <v>11540400.52</v>
      </c>
      <c r="L804" s="69">
        <f t="shared" si="22"/>
        <v>50000.0000000149</v>
      </c>
      <c r="M804" s="69">
        <f t="shared" si="23"/>
        <v>50000</v>
      </c>
    </row>
    <row r="805" spans="1:13" ht="63" outlineLevel="5">
      <c r="A805" s="19" t="s">
        <v>443</v>
      </c>
      <c r="B805" s="20" t="s">
        <v>165</v>
      </c>
      <c r="C805" s="20" t="s">
        <v>2</v>
      </c>
      <c r="D805" s="20" t="s">
        <v>338</v>
      </c>
      <c r="E805" s="20" t="s">
        <v>1</v>
      </c>
      <c r="F805" s="13">
        <f>F806</f>
        <v>98897170.43</v>
      </c>
      <c r="G805" s="2"/>
      <c r="I805" s="13">
        <v>98897170.43</v>
      </c>
      <c r="J805" s="2"/>
      <c r="L805" s="69">
        <f t="shared" si="22"/>
        <v>0</v>
      </c>
      <c r="M805" s="69">
        <f t="shared" si="23"/>
        <v>0</v>
      </c>
    </row>
    <row r="806" spans="1:13" ht="31.5" outlineLevel="6">
      <c r="A806" s="19" t="s">
        <v>692</v>
      </c>
      <c r="B806" s="20" t="s">
        <v>165</v>
      </c>
      <c r="C806" s="20" t="s">
        <v>2</v>
      </c>
      <c r="D806" s="20" t="s">
        <v>338</v>
      </c>
      <c r="E806" s="20" t="s">
        <v>70</v>
      </c>
      <c r="F806" s="13">
        <f>'Приложение_7 '!G1005</f>
        <v>98897170.43</v>
      </c>
      <c r="G806" s="2"/>
      <c r="I806" s="13">
        <v>98897170.43</v>
      </c>
      <c r="J806" s="2"/>
      <c r="L806" s="69">
        <f t="shared" si="22"/>
        <v>0</v>
      </c>
      <c r="M806" s="69">
        <f t="shared" si="23"/>
        <v>0</v>
      </c>
    </row>
    <row r="807" spans="1:13" ht="63" outlineLevel="5">
      <c r="A807" s="19" t="s">
        <v>465</v>
      </c>
      <c r="B807" s="20" t="s">
        <v>165</v>
      </c>
      <c r="C807" s="20" t="s">
        <v>2</v>
      </c>
      <c r="D807" s="20" t="s">
        <v>339</v>
      </c>
      <c r="E807" s="20" t="s">
        <v>1</v>
      </c>
      <c r="F807" s="13">
        <f>F808</f>
        <v>11540400.52</v>
      </c>
      <c r="G807" s="13">
        <f>G808</f>
        <v>11540400.52</v>
      </c>
      <c r="I807" s="13">
        <v>11540400.52</v>
      </c>
      <c r="J807" s="13">
        <v>11540400.52</v>
      </c>
      <c r="L807" s="69">
        <f t="shared" si="22"/>
        <v>0</v>
      </c>
      <c r="M807" s="69">
        <f t="shared" si="23"/>
        <v>0</v>
      </c>
    </row>
    <row r="808" spans="1:13" ht="31.5" outlineLevel="6">
      <c r="A808" s="19" t="s">
        <v>692</v>
      </c>
      <c r="B808" s="20" t="s">
        <v>165</v>
      </c>
      <c r="C808" s="20" t="s">
        <v>2</v>
      </c>
      <c r="D808" s="20" t="s">
        <v>339</v>
      </c>
      <c r="E808" s="20" t="s">
        <v>70</v>
      </c>
      <c r="F808" s="13">
        <f>'Приложение_7 '!G1007</f>
        <v>11540400.52</v>
      </c>
      <c r="G808" s="13">
        <f>F808</f>
        <v>11540400.52</v>
      </c>
      <c r="I808" s="13">
        <v>11540400.52</v>
      </c>
      <c r="J808" s="13">
        <v>11540400.52</v>
      </c>
      <c r="L808" s="69">
        <f t="shared" si="22"/>
        <v>0</v>
      </c>
      <c r="M808" s="69">
        <f t="shared" si="23"/>
        <v>0</v>
      </c>
    </row>
    <row r="809" spans="1:13" ht="63" outlineLevel="5">
      <c r="A809" s="19" t="s">
        <v>465</v>
      </c>
      <c r="B809" s="20" t="s">
        <v>165</v>
      </c>
      <c r="C809" s="20" t="s">
        <v>2</v>
      </c>
      <c r="D809" s="20" t="s">
        <v>340</v>
      </c>
      <c r="E809" s="20" t="s">
        <v>1</v>
      </c>
      <c r="F809" s="13">
        <f>F810</f>
        <v>6193488.76</v>
      </c>
      <c r="G809" s="2"/>
      <c r="I809" s="13">
        <v>6193488.76</v>
      </c>
      <c r="J809" s="2"/>
      <c r="L809" s="69">
        <f t="shared" si="22"/>
        <v>0</v>
      </c>
      <c r="M809" s="69">
        <f t="shared" si="23"/>
        <v>0</v>
      </c>
    </row>
    <row r="810" spans="1:13" ht="31.5" outlineLevel="6">
      <c r="A810" s="19" t="s">
        <v>692</v>
      </c>
      <c r="B810" s="20" t="s">
        <v>165</v>
      </c>
      <c r="C810" s="20" t="s">
        <v>2</v>
      </c>
      <c r="D810" s="20" t="s">
        <v>340</v>
      </c>
      <c r="E810" s="20" t="s">
        <v>70</v>
      </c>
      <c r="F810" s="13">
        <f>'Приложение_7 '!G1009</f>
        <v>6193488.76</v>
      </c>
      <c r="G810" s="2"/>
      <c r="I810" s="13">
        <v>6193488.76</v>
      </c>
      <c r="J810" s="2"/>
      <c r="L810" s="69">
        <f t="shared" si="22"/>
        <v>0</v>
      </c>
      <c r="M810" s="69">
        <f t="shared" si="23"/>
        <v>0</v>
      </c>
    </row>
    <row r="811" spans="1:13" ht="63" outlineLevel="6">
      <c r="A811" s="36" t="s">
        <v>941</v>
      </c>
      <c r="B811" s="37" t="s">
        <v>165</v>
      </c>
      <c r="C811" s="37" t="s">
        <v>2</v>
      </c>
      <c r="D811" s="37" t="s">
        <v>942</v>
      </c>
      <c r="E811" s="37" t="s">
        <v>1</v>
      </c>
      <c r="F811" s="13">
        <f>F812</f>
        <v>50000</v>
      </c>
      <c r="G811" s="2">
        <f>G812</f>
        <v>50000</v>
      </c>
      <c r="I811" s="13"/>
      <c r="J811" s="2"/>
      <c r="L811" s="69"/>
      <c r="M811" s="69"/>
    </row>
    <row r="812" spans="1:13" ht="31.5" outlineLevel="6">
      <c r="A812" s="36" t="s">
        <v>692</v>
      </c>
      <c r="B812" s="37" t="s">
        <v>165</v>
      </c>
      <c r="C812" s="37" t="s">
        <v>2</v>
      </c>
      <c r="D812" s="37" t="s">
        <v>942</v>
      </c>
      <c r="E812" s="37" t="s">
        <v>70</v>
      </c>
      <c r="F812" s="13">
        <f>'Приложение_7 '!G1011</f>
        <v>50000</v>
      </c>
      <c r="G812" s="2">
        <f>F812</f>
        <v>50000</v>
      </c>
      <c r="I812" s="13"/>
      <c r="J812" s="2"/>
      <c r="L812" s="69"/>
      <c r="M812" s="69"/>
    </row>
    <row r="813" spans="1:13" ht="15.75" outlineLevel="4">
      <c r="A813" s="19" t="s">
        <v>560</v>
      </c>
      <c r="B813" s="20" t="s">
        <v>165</v>
      </c>
      <c r="C813" s="20" t="s">
        <v>2</v>
      </c>
      <c r="D813" s="20" t="s">
        <v>341</v>
      </c>
      <c r="E813" s="20" t="s">
        <v>1</v>
      </c>
      <c r="F813" s="13">
        <f>F814</f>
        <v>1384811.27</v>
      </c>
      <c r="G813" s="2"/>
      <c r="I813" s="13">
        <v>1251082</v>
      </c>
      <c r="J813" s="2"/>
      <c r="L813" s="69">
        <f t="shared" si="22"/>
        <v>133729.27000000002</v>
      </c>
      <c r="M813" s="69">
        <f t="shared" si="23"/>
        <v>0</v>
      </c>
    </row>
    <row r="814" spans="1:13" ht="63" outlineLevel="5">
      <c r="A814" s="19" t="s">
        <v>432</v>
      </c>
      <c r="B814" s="20" t="s">
        <v>165</v>
      </c>
      <c r="C814" s="20" t="s">
        <v>2</v>
      </c>
      <c r="D814" s="20" t="s">
        <v>342</v>
      </c>
      <c r="E814" s="20" t="s">
        <v>1</v>
      </c>
      <c r="F814" s="13">
        <f>F815</f>
        <v>1384811.27</v>
      </c>
      <c r="G814" s="2"/>
      <c r="I814" s="13">
        <v>1251082</v>
      </c>
      <c r="J814" s="2"/>
      <c r="L814" s="69">
        <f t="shared" si="22"/>
        <v>133729.27000000002</v>
      </c>
      <c r="M814" s="69">
        <f t="shared" si="23"/>
        <v>0</v>
      </c>
    </row>
    <row r="815" spans="1:13" ht="31.5" outlineLevel="6">
      <c r="A815" s="19" t="s">
        <v>692</v>
      </c>
      <c r="B815" s="20" t="s">
        <v>165</v>
      </c>
      <c r="C815" s="20" t="s">
        <v>2</v>
      </c>
      <c r="D815" s="20" t="s">
        <v>342</v>
      </c>
      <c r="E815" s="20" t="s">
        <v>70</v>
      </c>
      <c r="F815" s="13">
        <f>'Приложение_7 '!G1014</f>
        <v>1384811.27</v>
      </c>
      <c r="G815" s="2"/>
      <c r="I815" s="13">
        <v>1251082</v>
      </c>
      <c r="J815" s="2"/>
      <c r="L815" s="69">
        <f t="shared" si="22"/>
        <v>133729.27000000002</v>
      </c>
      <c r="M815" s="69">
        <f t="shared" si="23"/>
        <v>0</v>
      </c>
    </row>
    <row r="816" spans="1:13" ht="31.5" outlineLevel="3">
      <c r="A816" s="42" t="s">
        <v>646</v>
      </c>
      <c r="B816" s="43" t="s">
        <v>165</v>
      </c>
      <c r="C816" s="43" t="s">
        <v>2</v>
      </c>
      <c r="D816" s="43" t="s">
        <v>343</v>
      </c>
      <c r="E816" s="43" t="s">
        <v>1</v>
      </c>
      <c r="F816" s="12">
        <f>F817+F824+F827+F834+F837</f>
        <v>54826078.419999994</v>
      </c>
      <c r="G816" s="12">
        <f>G817+G824+G827+G834+G837</f>
        <v>5169783.29</v>
      </c>
      <c r="I816" s="12">
        <v>55011520.43</v>
      </c>
      <c r="J816" s="1">
        <f>J817</f>
        <v>5135772.78</v>
      </c>
      <c r="L816" s="69">
        <f t="shared" si="22"/>
        <v>-185442.01000000536</v>
      </c>
      <c r="M816" s="69">
        <f t="shared" si="23"/>
        <v>34010.50999999978</v>
      </c>
    </row>
    <row r="817" spans="1:13" ht="47.25" outlineLevel="4">
      <c r="A817" s="19" t="s">
        <v>589</v>
      </c>
      <c r="B817" s="20" t="s">
        <v>165</v>
      </c>
      <c r="C817" s="20" t="s">
        <v>2</v>
      </c>
      <c r="D817" s="20" t="s">
        <v>344</v>
      </c>
      <c r="E817" s="20" t="s">
        <v>1</v>
      </c>
      <c r="F817" s="13">
        <f>F818+F820+F822</f>
        <v>44562339.87</v>
      </c>
      <c r="G817" s="13">
        <f>G818+G820+G822</f>
        <v>5135772.78</v>
      </c>
      <c r="I817" s="13">
        <v>44562339.87</v>
      </c>
      <c r="J817" s="2">
        <f>J820</f>
        <v>5135772.78</v>
      </c>
      <c r="L817" s="69">
        <f t="shared" si="22"/>
        <v>0</v>
      </c>
      <c r="M817" s="69">
        <f t="shared" si="23"/>
        <v>0</v>
      </c>
    </row>
    <row r="818" spans="1:13" ht="63" outlineLevel="5">
      <c r="A818" s="19" t="s">
        <v>443</v>
      </c>
      <c r="B818" s="20" t="s">
        <v>165</v>
      </c>
      <c r="C818" s="20" t="s">
        <v>2</v>
      </c>
      <c r="D818" s="20" t="s">
        <v>345</v>
      </c>
      <c r="E818" s="20" t="s">
        <v>1</v>
      </c>
      <c r="F818" s="13">
        <f>F819</f>
        <v>37937563.69</v>
      </c>
      <c r="G818" s="13"/>
      <c r="I818" s="13">
        <v>37937563.69</v>
      </c>
      <c r="J818" s="13"/>
      <c r="L818" s="69">
        <f t="shared" si="22"/>
        <v>0</v>
      </c>
      <c r="M818" s="69">
        <f t="shared" si="23"/>
        <v>0</v>
      </c>
    </row>
    <row r="819" spans="1:13" ht="31.5" outlineLevel="6">
      <c r="A819" s="19" t="s">
        <v>692</v>
      </c>
      <c r="B819" s="20" t="s">
        <v>165</v>
      </c>
      <c r="C819" s="20" t="s">
        <v>2</v>
      </c>
      <c r="D819" s="20" t="s">
        <v>345</v>
      </c>
      <c r="E819" s="20" t="s">
        <v>70</v>
      </c>
      <c r="F819" s="13">
        <f>'Приложение_7 '!G1018</f>
        <v>37937563.69</v>
      </c>
      <c r="G819" s="13"/>
      <c r="I819" s="13">
        <v>37937563.69</v>
      </c>
      <c r="J819" s="13"/>
      <c r="L819" s="69">
        <f t="shared" si="22"/>
        <v>0</v>
      </c>
      <c r="M819" s="69">
        <f t="shared" si="23"/>
        <v>0</v>
      </c>
    </row>
    <row r="820" spans="1:13" ht="63" outlineLevel="5">
      <c r="A820" s="19" t="s">
        <v>465</v>
      </c>
      <c r="B820" s="20" t="s">
        <v>165</v>
      </c>
      <c r="C820" s="20" t="s">
        <v>2</v>
      </c>
      <c r="D820" s="20" t="s">
        <v>346</v>
      </c>
      <c r="E820" s="20" t="s">
        <v>1</v>
      </c>
      <c r="F820" s="13">
        <f>F821</f>
        <v>5135772.78</v>
      </c>
      <c r="G820" s="13">
        <f>G821</f>
        <v>5135772.78</v>
      </c>
      <c r="I820" s="13">
        <v>5135772.78</v>
      </c>
      <c r="J820" s="13">
        <v>5135772.78</v>
      </c>
      <c r="L820" s="69">
        <f t="shared" si="22"/>
        <v>0</v>
      </c>
      <c r="M820" s="69">
        <f t="shared" si="23"/>
        <v>0</v>
      </c>
    </row>
    <row r="821" spans="1:13" ht="31.5" outlineLevel="6">
      <c r="A821" s="19" t="s">
        <v>692</v>
      </c>
      <c r="B821" s="20" t="s">
        <v>165</v>
      </c>
      <c r="C821" s="20" t="s">
        <v>2</v>
      </c>
      <c r="D821" s="20" t="s">
        <v>346</v>
      </c>
      <c r="E821" s="20" t="s">
        <v>70</v>
      </c>
      <c r="F821" s="13">
        <f>'Приложение_7 '!G1020</f>
        <v>5135772.78</v>
      </c>
      <c r="G821" s="13">
        <f>F821</f>
        <v>5135772.78</v>
      </c>
      <c r="I821" s="13">
        <v>5135772.78</v>
      </c>
      <c r="J821" s="13">
        <v>5135772.78</v>
      </c>
      <c r="L821" s="69">
        <f t="shared" si="22"/>
        <v>0</v>
      </c>
      <c r="M821" s="69">
        <f t="shared" si="23"/>
        <v>0</v>
      </c>
    </row>
    <row r="822" spans="1:13" ht="63" outlineLevel="5">
      <c r="A822" s="19" t="s">
        <v>465</v>
      </c>
      <c r="B822" s="20" t="s">
        <v>165</v>
      </c>
      <c r="C822" s="20" t="s">
        <v>2</v>
      </c>
      <c r="D822" s="20" t="s">
        <v>347</v>
      </c>
      <c r="E822" s="20" t="s">
        <v>1</v>
      </c>
      <c r="F822" s="13">
        <f>F823</f>
        <v>1489003.4</v>
      </c>
      <c r="G822" s="2"/>
      <c r="I822" s="13">
        <v>1489003.4</v>
      </c>
      <c r="J822" s="2"/>
      <c r="L822" s="69">
        <f t="shared" si="22"/>
        <v>0</v>
      </c>
      <c r="M822" s="69">
        <f t="shared" si="23"/>
        <v>0</v>
      </c>
    </row>
    <row r="823" spans="1:13" ht="31.5" outlineLevel="6">
      <c r="A823" s="19" t="s">
        <v>692</v>
      </c>
      <c r="B823" s="20" t="s">
        <v>165</v>
      </c>
      <c r="C823" s="20" t="s">
        <v>2</v>
      </c>
      <c r="D823" s="20" t="s">
        <v>347</v>
      </c>
      <c r="E823" s="20" t="s">
        <v>70</v>
      </c>
      <c r="F823" s="13">
        <f>'Приложение_7 '!G1022</f>
        <v>1489003.4</v>
      </c>
      <c r="G823" s="2"/>
      <c r="I823" s="13">
        <v>1489003.4</v>
      </c>
      <c r="J823" s="2"/>
      <c r="L823" s="69">
        <f t="shared" si="22"/>
        <v>0</v>
      </c>
      <c r="M823" s="69">
        <f t="shared" si="23"/>
        <v>0</v>
      </c>
    </row>
    <row r="824" spans="1:13" ht="15.75" outlineLevel="4">
      <c r="A824" s="19" t="s">
        <v>560</v>
      </c>
      <c r="B824" s="20" t="s">
        <v>165</v>
      </c>
      <c r="C824" s="20" t="s">
        <v>2</v>
      </c>
      <c r="D824" s="20" t="s">
        <v>348</v>
      </c>
      <c r="E824" s="20" t="s">
        <v>1</v>
      </c>
      <c r="F824" s="13">
        <f>F825</f>
        <v>729709.48</v>
      </c>
      <c r="G824" s="2"/>
      <c r="I824" s="13">
        <v>949162</v>
      </c>
      <c r="J824" s="2"/>
      <c r="L824" s="69">
        <f t="shared" si="22"/>
        <v>-219452.52000000002</v>
      </c>
      <c r="M824" s="69">
        <f t="shared" si="23"/>
        <v>0</v>
      </c>
    </row>
    <row r="825" spans="1:13" ht="63" outlineLevel="5">
      <c r="A825" s="19" t="s">
        <v>432</v>
      </c>
      <c r="B825" s="20" t="s">
        <v>165</v>
      </c>
      <c r="C825" s="20" t="s">
        <v>2</v>
      </c>
      <c r="D825" s="20" t="s">
        <v>349</v>
      </c>
      <c r="E825" s="20" t="s">
        <v>1</v>
      </c>
      <c r="F825" s="13">
        <f>F826</f>
        <v>729709.48</v>
      </c>
      <c r="G825" s="2"/>
      <c r="I825" s="13">
        <v>949162</v>
      </c>
      <c r="J825" s="2"/>
      <c r="L825" s="69">
        <f t="shared" si="22"/>
        <v>-219452.52000000002</v>
      </c>
      <c r="M825" s="69">
        <f t="shared" si="23"/>
        <v>0</v>
      </c>
    </row>
    <row r="826" spans="1:13" ht="31.5" outlineLevel="6">
      <c r="A826" s="19" t="s">
        <v>692</v>
      </c>
      <c r="B826" s="20" t="s">
        <v>165</v>
      </c>
      <c r="C826" s="20" t="s">
        <v>2</v>
      </c>
      <c r="D826" s="20" t="s">
        <v>349</v>
      </c>
      <c r="E826" s="20" t="s">
        <v>70</v>
      </c>
      <c r="F826" s="13">
        <f>'Приложение_7 '!G1025</f>
        <v>729709.48</v>
      </c>
      <c r="G826" s="2"/>
      <c r="I826" s="13">
        <v>949162</v>
      </c>
      <c r="J826" s="2"/>
      <c r="L826" s="69">
        <f t="shared" si="22"/>
        <v>-219452.52000000002</v>
      </c>
      <c r="M826" s="69">
        <f t="shared" si="23"/>
        <v>0</v>
      </c>
    </row>
    <row r="827" spans="1:13" ht="47.25" outlineLevel="4">
      <c r="A827" s="19" t="s">
        <v>590</v>
      </c>
      <c r="B827" s="20" t="s">
        <v>165</v>
      </c>
      <c r="C827" s="20" t="s">
        <v>2</v>
      </c>
      <c r="D827" s="20" t="s">
        <v>350</v>
      </c>
      <c r="E827" s="20" t="s">
        <v>1</v>
      </c>
      <c r="F827" s="13">
        <f>F828+F830+F832</f>
        <v>5282577.76</v>
      </c>
      <c r="G827" s="13">
        <f>G828+G830+G832</f>
        <v>34010.51</v>
      </c>
      <c r="I827" s="13">
        <v>5248567.25</v>
      </c>
      <c r="J827" s="2"/>
      <c r="L827" s="69">
        <f t="shared" si="22"/>
        <v>34010.50999999978</v>
      </c>
      <c r="M827" s="69">
        <f t="shared" si="23"/>
        <v>34010.51</v>
      </c>
    </row>
    <row r="828" spans="1:13" ht="63" outlineLevel="5">
      <c r="A828" s="19" t="s">
        <v>443</v>
      </c>
      <c r="B828" s="20" t="s">
        <v>165</v>
      </c>
      <c r="C828" s="20" t="s">
        <v>2</v>
      </c>
      <c r="D828" s="20" t="s">
        <v>351</v>
      </c>
      <c r="E828" s="20" t="s">
        <v>1</v>
      </c>
      <c r="F828" s="13">
        <f>F829</f>
        <v>4804616.25</v>
      </c>
      <c r="G828" s="2"/>
      <c r="I828" s="13">
        <v>5248567.25</v>
      </c>
      <c r="J828" s="2"/>
      <c r="L828" s="69">
        <f t="shared" si="22"/>
        <v>-443951</v>
      </c>
      <c r="M828" s="69">
        <f t="shared" si="23"/>
        <v>0</v>
      </c>
    </row>
    <row r="829" spans="1:13" ht="31.5" outlineLevel="6">
      <c r="A829" s="19" t="s">
        <v>692</v>
      </c>
      <c r="B829" s="20" t="s">
        <v>165</v>
      </c>
      <c r="C829" s="20" t="s">
        <v>2</v>
      </c>
      <c r="D829" s="20" t="s">
        <v>351</v>
      </c>
      <c r="E829" s="20" t="s">
        <v>70</v>
      </c>
      <c r="F829" s="13">
        <f>'Приложение_7 '!G1028</f>
        <v>4804616.25</v>
      </c>
      <c r="G829" s="2"/>
      <c r="I829" s="13">
        <v>5248567.25</v>
      </c>
      <c r="J829" s="2"/>
      <c r="L829" s="69">
        <f t="shared" si="22"/>
        <v>-443951</v>
      </c>
      <c r="M829" s="69">
        <f t="shared" si="23"/>
        <v>0</v>
      </c>
    </row>
    <row r="830" spans="1:13" ht="78.75" outlineLevel="6">
      <c r="A830" s="36" t="s">
        <v>908</v>
      </c>
      <c r="B830" s="37" t="s">
        <v>165</v>
      </c>
      <c r="C830" s="37" t="s">
        <v>2</v>
      </c>
      <c r="D830" s="37" t="s">
        <v>909</v>
      </c>
      <c r="E830" s="37" t="s">
        <v>1</v>
      </c>
      <c r="F830" s="13">
        <f>F831</f>
        <v>443951</v>
      </c>
      <c r="G830" s="2"/>
      <c r="I830" s="13"/>
      <c r="J830" s="2"/>
      <c r="L830" s="69"/>
      <c r="M830" s="69"/>
    </row>
    <row r="831" spans="1:13" ht="31.5" outlineLevel="6">
      <c r="A831" s="36" t="s">
        <v>692</v>
      </c>
      <c r="B831" s="37" t="s">
        <v>165</v>
      </c>
      <c r="C831" s="37" t="s">
        <v>2</v>
      </c>
      <c r="D831" s="37" t="s">
        <v>909</v>
      </c>
      <c r="E831" s="37" t="s">
        <v>70</v>
      </c>
      <c r="F831" s="13">
        <f>'Приложение_7 '!G1030</f>
        <v>443951</v>
      </c>
      <c r="G831" s="2"/>
      <c r="I831" s="13"/>
      <c r="J831" s="2"/>
      <c r="L831" s="69"/>
      <c r="M831" s="69"/>
    </row>
    <row r="832" spans="1:13" ht="78.75" outlineLevel="6">
      <c r="A832" s="36" t="s">
        <v>908</v>
      </c>
      <c r="B832" s="37" t="s">
        <v>165</v>
      </c>
      <c r="C832" s="37" t="s">
        <v>2</v>
      </c>
      <c r="D832" s="37" t="s">
        <v>910</v>
      </c>
      <c r="E832" s="37" t="s">
        <v>1</v>
      </c>
      <c r="F832" s="13">
        <f>F833</f>
        <v>34010.51</v>
      </c>
      <c r="G832" s="2">
        <f>G833</f>
        <v>34010.51</v>
      </c>
      <c r="I832" s="13"/>
      <c r="J832" s="2"/>
      <c r="L832" s="69"/>
      <c r="M832" s="69"/>
    </row>
    <row r="833" spans="1:13" ht="31.5" outlineLevel="6">
      <c r="A833" s="36" t="s">
        <v>692</v>
      </c>
      <c r="B833" s="37" t="s">
        <v>165</v>
      </c>
      <c r="C833" s="37" t="s">
        <v>2</v>
      </c>
      <c r="D833" s="37" t="s">
        <v>910</v>
      </c>
      <c r="E833" s="37" t="s">
        <v>70</v>
      </c>
      <c r="F833" s="13">
        <f>'Приложение_7 '!G1032</f>
        <v>34010.51</v>
      </c>
      <c r="G833" s="2">
        <f>F833</f>
        <v>34010.51</v>
      </c>
      <c r="I833" s="13"/>
      <c r="J833" s="2"/>
      <c r="L833" s="69"/>
      <c r="M833" s="69"/>
    </row>
    <row r="834" spans="1:13" ht="31.5" outlineLevel="4">
      <c r="A834" s="19" t="s">
        <v>591</v>
      </c>
      <c r="B834" s="20" t="s">
        <v>165</v>
      </c>
      <c r="C834" s="20" t="s">
        <v>2</v>
      </c>
      <c r="D834" s="20" t="s">
        <v>352</v>
      </c>
      <c r="E834" s="20" t="s">
        <v>1</v>
      </c>
      <c r="F834" s="13">
        <f>F835</f>
        <v>4142944.31</v>
      </c>
      <c r="G834" s="2"/>
      <c r="I834" s="13">
        <v>4142944.31</v>
      </c>
      <c r="J834" s="2"/>
      <c r="L834" s="69">
        <f t="shared" si="22"/>
        <v>0</v>
      </c>
      <c r="M834" s="69">
        <f t="shared" si="23"/>
        <v>0</v>
      </c>
    </row>
    <row r="835" spans="1:13" ht="63" outlineLevel="5">
      <c r="A835" s="19" t="s">
        <v>443</v>
      </c>
      <c r="B835" s="20" t="s">
        <v>165</v>
      </c>
      <c r="C835" s="20" t="s">
        <v>2</v>
      </c>
      <c r="D835" s="20" t="s">
        <v>353</v>
      </c>
      <c r="E835" s="20" t="s">
        <v>1</v>
      </c>
      <c r="F835" s="13">
        <f>F836</f>
        <v>4142944.31</v>
      </c>
      <c r="G835" s="2"/>
      <c r="I835" s="13">
        <v>4142944.31</v>
      </c>
      <c r="J835" s="2"/>
      <c r="L835" s="69">
        <f t="shared" si="22"/>
        <v>0</v>
      </c>
      <c r="M835" s="69">
        <f t="shared" si="23"/>
        <v>0</v>
      </c>
    </row>
    <row r="836" spans="1:13" ht="31.5" outlineLevel="6">
      <c r="A836" s="19" t="s">
        <v>692</v>
      </c>
      <c r="B836" s="20" t="s">
        <v>165</v>
      </c>
      <c r="C836" s="20" t="s">
        <v>2</v>
      </c>
      <c r="D836" s="20" t="s">
        <v>353</v>
      </c>
      <c r="E836" s="20" t="s">
        <v>70</v>
      </c>
      <c r="F836" s="13">
        <f>'Приложение_7 '!G1035</f>
        <v>4142944.31</v>
      </c>
      <c r="G836" s="2"/>
      <c r="I836" s="13">
        <v>4142944.31</v>
      </c>
      <c r="J836" s="2"/>
      <c r="L836" s="69">
        <f t="shared" si="22"/>
        <v>0</v>
      </c>
      <c r="M836" s="69">
        <f t="shared" si="23"/>
        <v>0</v>
      </c>
    </row>
    <row r="837" spans="1:13" ht="31.5" outlineLevel="4">
      <c r="A837" s="19" t="s">
        <v>592</v>
      </c>
      <c r="B837" s="20" t="s">
        <v>165</v>
      </c>
      <c r="C837" s="20" t="s">
        <v>2</v>
      </c>
      <c r="D837" s="20" t="s">
        <v>354</v>
      </c>
      <c r="E837" s="20" t="s">
        <v>1</v>
      </c>
      <c r="F837" s="13">
        <f>F838</f>
        <v>108507</v>
      </c>
      <c r="G837" s="2"/>
      <c r="I837" s="13">
        <v>108507</v>
      </c>
      <c r="J837" s="2"/>
      <c r="L837" s="69">
        <f t="shared" si="22"/>
        <v>0</v>
      </c>
      <c r="M837" s="69">
        <f t="shared" si="23"/>
        <v>0</v>
      </c>
    </row>
    <row r="838" spans="1:13" ht="63" outlineLevel="5">
      <c r="A838" s="19" t="s">
        <v>443</v>
      </c>
      <c r="B838" s="20" t="s">
        <v>165</v>
      </c>
      <c r="C838" s="20" t="s">
        <v>2</v>
      </c>
      <c r="D838" s="20" t="s">
        <v>355</v>
      </c>
      <c r="E838" s="20" t="s">
        <v>1</v>
      </c>
      <c r="F838" s="13">
        <f>F839</f>
        <v>108507</v>
      </c>
      <c r="G838" s="2"/>
      <c r="I838" s="13">
        <v>108507</v>
      </c>
      <c r="J838" s="2"/>
      <c r="L838" s="69">
        <f t="shared" si="22"/>
        <v>0</v>
      </c>
      <c r="M838" s="69">
        <f t="shared" si="23"/>
        <v>0</v>
      </c>
    </row>
    <row r="839" spans="1:13" ht="31.5" outlineLevel="6">
      <c r="A839" s="19" t="s">
        <v>692</v>
      </c>
      <c r="B839" s="20" t="s">
        <v>165</v>
      </c>
      <c r="C839" s="20" t="s">
        <v>2</v>
      </c>
      <c r="D839" s="20" t="s">
        <v>355</v>
      </c>
      <c r="E839" s="20" t="s">
        <v>70</v>
      </c>
      <c r="F839" s="13">
        <f>'Приложение_7 '!G1038</f>
        <v>108507</v>
      </c>
      <c r="G839" s="1"/>
      <c r="I839" s="13">
        <v>108507</v>
      </c>
      <c r="J839" s="1"/>
      <c r="L839" s="69">
        <f t="shared" si="22"/>
        <v>0</v>
      </c>
      <c r="M839" s="69">
        <f t="shared" si="23"/>
        <v>0</v>
      </c>
    </row>
    <row r="840" spans="1:13" ht="31.5" outlineLevel="3">
      <c r="A840" s="42" t="s">
        <v>647</v>
      </c>
      <c r="B840" s="43" t="s">
        <v>165</v>
      </c>
      <c r="C840" s="43" t="s">
        <v>2</v>
      </c>
      <c r="D840" s="43" t="s">
        <v>356</v>
      </c>
      <c r="E840" s="43" t="s">
        <v>1</v>
      </c>
      <c r="F840" s="12">
        <f>F841+F844+F851+F858</f>
        <v>15633510.509999998</v>
      </c>
      <c r="G840" s="12">
        <f>G841+G844+G851+G858</f>
        <v>1316946.22</v>
      </c>
      <c r="I840" s="12">
        <v>15626673.81</v>
      </c>
      <c r="J840" s="1">
        <f>J844+J851</f>
        <v>1316946.22</v>
      </c>
      <c r="L840" s="69">
        <f t="shared" si="22"/>
        <v>6836.699999997392</v>
      </c>
      <c r="M840" s="69">
        <f t="shared" si="23"/>
        <v>0</v>
      </c>
    </row>
    <row r="841" spans="1:13" ht="47.25" outlineLevel="4">
      <c r="A841" s="19" t="s">
        <v>593</v>
      </c>
      <c r="B841" s="20" t="s">
        <v>165</v>
      </c>
      <c r="C841" s="20" t="s">
        <v>2</v>
      </c>
      <c r="D841" s="20" t="s">
        <v>357</v>
      </c>
      <c r="E841" s="20" t="s">
        <v>1</v>
      </c>
      <c r="F841" s="13">
        <f>F842</f>
        <v>403464</v>
      </c>
      <c r="G841" s="2"/>
      <c r="I841" s="13">
        <v>403464</v>
      </c>
      <c r="J841" s="2"/>
      <c r="L841" s="69">
        <f t="shared" si="22"/>
        <v>0</v>
      </c>
      <c r="M841" s="69">
        <f t="shared" si="23"/>
        <v>0</v>
      </c>
    </row>
    <row r="842" spans="1:13" ht="63" outlineLevel="5">
      <c r="A842" s="19" t="s">
        <v>443</v>
      </c>
      <c r="B842" s="20" t="s">
        <v>165</v>
      </c>
      <c r="C842" s="20" t="s">
        <v>2</v>
      </c>
      <c r="D842" s="20" t="s">
        <v>358</v>
      </c>
      <c r="E842" s="20" t="s">
        <v>1</v>
      </c>
      <c r="F842" s="13">
        <f>F843</f>
        <v>403464</v>
      </c>
      <c r="G842" s="2"/>
      <c r="I842" s="13">
        <v>403464</v>
      </c>
      <c r="J842" s="2"/>
      <c r="L842" s="69">
        <f t="shared" si="22"/>
        <v>0</v>
      </c>
      <c r="M842" s="69">
        <f t="shared" si="23"/>
        <v>0</v>
      </c>
    </row>
    <row r="843" spans="1:13" ht="31.5" outlineLevel="6">
      <c r="A843" s="19" t="s">
        <v>692</v>
      </c>
      <c r="B843" s="20" t="s">
        <v>165</v>
      </c>
      <c r="C843" s="20" t="s">
        <v>2</v>
      </c>
      <c r="D843" s="20" t="s">
        <v>358</v>
      </c>
      <c r="E843" s="20" t="s">
        <v>70</v>
      </c>
      <c r="F843" s="13">
        <f>'Приложение_7 '!G1042</f>
        <v>403464</v>
      </c>
      <c r="G843" s="2"/>
      <c r="I843" s="13">
        <v>403464</v>
      </c>
      <c r="J843" s="2"/>
      <c r="L843" s="69">
        <f t="shared" si="22"/>
        <v>0</v>
      </c>
      <c r="M843" s="69">
        <f t="shared" si="23"/>
        <v>0</v>
      </c>
    </row>
    <row r="844" spans="1:13" ht="31.5" outlineLevel="4">
      <c r="A844" s="19" t="s">
        <v>594</v>
      </c>
      <c r="B844" s="20" t="s">
        <v>165</v>
      </c>
      <c r="C844" s="20" t="s">
        <v>2</v>
      </c>
      <c r="D844" s="20" t="s">
        <v>359</v>
      </c>
      <c r="E844" s="20" t="s">
        <v>1</v>
      </c>
      <c r="F844" s="13">
        <f>F845+F847+F849</f>
        <v>10653011.069999998</v>
      </c>
      <c r="G844" s="13">
        <f>G845+G847+G849</f>
        <v>940214.59</v>
      </c>
      <c r="I844" s="13">
        <v>10653011.07</v>
      </c>
      <c r="J844" s="2">
        <f>J847</f>
        <v>940214.59</v>
      </c>
      <c r="L844" s="69">
        <f t="shared" si="22"/>
        <v>0</v>
      </c>
      <c r="M844" s="69">
        <f t="shared" si="23"/>
        <v>0</v>
      </c>
    </row>
    <row r="845" spans="1:13" ht="63" outlineLevel="5">
      <c r="A845" s="19" t="s">
        <v>443</v>
      </c>
      <c r="B845" s="20" t="s">
        <v>165</v>
      </c>
      <c r="C845" s="20" t="s">
        <v>2</v>
      </c>
      <c r="D845" s="20" t="s">
        <v>360</v>
      </c>
      <c r="E845" s="20" t="s">
        <v>1</v>
      </c>
      <c r="F845" s="13">
        <f>F846</f>
        <v>9438953.53</v>
      </c>
      <c r="G845" s="13"/>
      <c r="I845" s="13">
        <v>9438953.53</v>
      </c>
      <c r="J845" s="13"/>
      <c r="L845" s="69">
        <f t="shared" si="22"/>
        <v>0</v>
      </c>
      <c r="M845" s="69">
        <f t="shared" si="23"/>
        <v>0</v>
      </c>
    </row>
    <row r="846" spans="1:13" ht="31.5" outlineLevel="6">
      <c r="A846" s="19" t="s">
        <v>692</v>
      </c>
      <c r="B846" s="20" t="s">
        <v>165</v>
      </c>
      <c r="C846" s="20" t="s">
        <v>2</v>
      </c>
      <c r="D846" s="20" t="s">
        <v>360</v>
      </c>
      <c r="E846" s="20" t="s">
        <v>70</v>
      </c>
      <c r="F846" s="13">
        <f>'Приложение_7 '!G1045</f>
        <v>9438953.53</v>
      </c>
      <c r="G846" s="13"/>
      <c r="I846" s="13">
        <v>9438953.53</v>
      </c>
      <c r="J846" s="13"/>
      <c r="L846" s="69">
        <f t="shared" si="22"/>
        <v>0</v>
      </c>
      <c r="M846" s="69">
        <f t="shared" si="23"/>
        <v>0</v>
      </c>
    </row>
    <row r="847" spans="1:13" ht="63" outlineLevel="5">
      <c r="A847" s="19" t="s">
        <v>465</v>
      </c>
      <c r="B847" s="20" t="s">
        <v>165</v>
      </c>
      <c r="C847" s="20" t="s">
        <v>2</v>
      </c>
      <c r="D847" s="20" t="s">
        <v>361</v>
      </c>
      <c r="E847" s="20" t="s">
        <v>1</v>
      </c>
      <c r="F847" s="13">
        <f>F848</f>
        <v>940214.59</v>
      </c>
      <c r="G847" s="13">
        <f>G848</f>
        <v>940214.59</v>
      </c>
      <c r="I847" s="13">
        <v>940214.59</v>
      </c>
      <c r="J847" s="13">
        <v>940214.59</v>
      </c>
      <c r="L847" s="69">
        <f t="shared" si="22"/>
        <v>0</v>
      </c>
      <c r="M847" s="69">
        <f t="shared" si="23"/>
        <v>0</v>
      </c>
    </row>
    <row r="848" spans="1:13" ht="31.5" outlineLevel="6">
      <c r="A848" s="19" t="s">
        <v>692</v>
      </c>
      <c r="B848" s="20" t="s">
        <v>165</v>
      </c>
      <c r="C848" s="20" t="s">
        <v>2</v>
      </c>
      <c r="D848" s="20" t="s">
        <v>361</v>
      </c>
      <c r="E848" s="20" t="s">
        <v>70</v>
      </c>
      <c r="F848" s="13">
        <f>'Приложение_7 '!G1047</f>
        <v>940214.59</v>
      </c>
      <c r="G848" s="13">
        <f>F848</f>
        <v>940214.59</v>
      </c>
      <c r="I848" s="13">
        <v>940214.59</v>
      </c>
      <c r="J848" s="13">
        <v>940214.59</v>
      </c>
      <c r="L848" s="69">
        <f t="shared" si="22"/>
        <v>0</v>
      </c>
      <c r="M848" s="69">
        <f t="shared" si="23"/>
        <v>0</v>
      </c>
    </row>
    <row r="849" spans="1:13" ht="63" outlineLevel="5">
      <c r="A849" s="19" t="s">
        <v>465</v>
      </c>
      <c r="B849" s="20" t="s">
        <v>165</v>
      </c>
      <c r="C849" s="20" t="s">
        <v>2</v>
      </c>
      <c r="D849" s="20" t="s">
        <v>362</v>
      </c>
      <c r="E849" s="20" t="s">
        <v>1</v>
      </c>
      <c r="F849" s="13">
        <f>F850</f>
        <v>273842.95</v>
      </c>
      <c r="G849" s="2"/>
      <c r="I849" s="13">
        <v>273842.95</v>
      </c>
      <c r="J849" s="2"/>
      <c r="L849" s="69">
        <f t="shared" si="22"/>
        <v>0</v>
      </c>
      <c r="M849" s="69">
        <f t="shared" si="23"/>
        <v>0</v>
      </c>
    </row>
    <row r="850" spans="1:13" ht="31.5" outlineLevel="6">
      <c r="A850" s="19" t="s">
        <v>692</v>
      </c>
      <c r="B850" s="20" t="s">
        <v>165</v>
      </c>
      <c r="C850" s="20" t="s">
        <v>2</v>
      </c>
      <c r="D850" s="20" t="s">
        <v>362</v>
      </c>
      <c r="E850" s="20" t="s">
        <v>70</v>
      </c>
      <c r="F850" s="13">
        <f>'Приложение_7 '!G1049</f>
        <v>273842.95</v>
      </c>
      <c r="G850" s="2"/>
      <c r="I850" s="13">
        <v>273842.95</v>
      </c>
      <c r="J850" s="2"/>
      <c r="L850" s="69">
        <f t="shared" si="22"/>
        <v>0</v>
      </c>
      <c r="M850" s="69">
        <f t="shared" si="23"/>
        <v>0</v>
      </c>
    </row>
    <row r="851" spans="1:13" ht="31.5" outlineLevel="4">
      <c r="A851" s="19" t="s">
        <v>595</v>
      </c>
      <c r="B851" s="20" t="s">
        <v>165</v>
      </c>
      <c r="C851" s="20" t="s">
        <v>2</v>
      </c>
      <c r="D851" s="20" t="s">
        <v>363</v>
      </c>
      <c r="E851" s="20" t="s">
        <v>1</v>
      </c>
      <c r="F851" s="13">
        <f>F852+F854+F856</f>
        <v>4226312.74</v>
      </c>
      <c r="G851" s="13">
        <f>G852+G854+G856</f>
        <v>376731.63</v>
      </c>
      <c r="I851" s="13">
        <v>4226312.74</v>
      </c>
      <c r="J851" s="2">
        <f>J854</f>
        <v>376731.63</v>
      </c>
      <c r="L851" s="69">
        <f t="shared" si="22"/>
        <v>0</v>
      </c>
      <c r="M851" s="69">
        <f t="shared" si="23"/>
        <v>0</v>
      </c>
    </row>
    <row r="852" spans="1:13" ht="63" outlineLevel="5">
      <c r="A852" s="19" t="s">
        <v>443</v>
      </c>
      <c r="B852" s="20" t="s">
        <v>165</v>
      </c>
      <c r="C852" s="20" t="s">
        <v>2</v>
      </c>
      <c r="D852" s="20" t="s">
        <v>364</v>
      </c>
      <c r="E852" s="20" t="s">
        <v>1</v>
      </c>
      <c r="F852" s="13">
        <f>F853</f>
        <v>3757081.49</v>
      </c>
      <c r="G852" s="2"/>
      <c r="I852" s="13">
        <v>3757081.49</v>
      </c>
      <c r="J852" s="2"/>
      <c r="L852" s="69">
        <f t="shared" si="22"/>
        <v>0</v>
      </c>
      <c r="M852" s="69">
        <f t="shared" si="23"/>
        <v>0</v>
      </c>
    </row>
    <row r="853" spans="1:13" ht="31.5" outlineLevel="6">
      <c r="A853" s="19" t="s">
        <v>692</v>
      </c>
      <c r="B853" s="20" t="s">
        <v>165</v>
      </c>
      <c r="C853" s="20" t="s">
        <v>2</v>
      </c>
      <c r="D853" s="20" t="s">
        <v>364</v>
      </c>
      <c r="E853" s="20" t="s">
        <v>70</v>
      </c>
      <c r="F853" s="13">
        <f>'Приложение_7 '!G1052</f>
        <v>3757081.49</v>
      </c>
      <c r="G853" s="2"/>
      <c r="I853" s="13">
        <v>3757081.49</v>
      </c>
      <c r="J853" s="2"/>
      <c r="L853" s="69">
        <f aca="true" t="shared" si="24" ref="L853:L916">F853-I853</f>
        <v>0</v>
      </c>
      <c r="M853" s="69">
        <f aca="true" t="shared" si="25" ref="M853:M916">G853-J853</f>
        <v>0</v>
      </c>
    </row>
    <row r="854" spans="1:13" ht="63" outlineLevel="5">
      <c r="A854" s="19" t="s">
        <v>465</v>
      </c>
      <c r="B854" s="20" t="s">
        <v>165</v>
      </c>
      <c r="C854" s="20" t="s">
        <v>2</v>
      </c>
      <c r="D854" s="20" t="s">
        <v>365</v>
      </c>
      <c r="E854" s="20" t="s">
        <v>1</v>
      </c>
      <c r="F854" s="13">
        <f>F855</f>
        <v>376731.63</v>
      </c>
      <c r="G854" s="13">
        <f>G855</f>
        <v>376731.63</v>
      </c>
      <c r="I854" s="13">
        <v>376731.63</v>
      </c>
      <c r="J854" s="2">
        <f>J855</f>
        <v>376731.63</v>
      </c>
      <c r="L854" s="69">
        <f t="shared" si="24"/>
        <v>0</v>
      </c>
      <c r="M854" s="69">
        <f t="shared" si="25"/>
        <v>0</v>
      </c>
    </row>
    <row r="855" spans="1:13" ht="31.5" outlineLevel="6">
      <c r="A855" s="19" t="s">
        <v>692</v>
      </c>
      <c r="B855" s="20" t="s">
        <v>165</v>
      </c>
      <c r="C855" s="20" t="s">
        <v>2</v>
      </c>
      <c r="D855" s="20" t="s">
        <v>365</v>
      </c>
      <c r="E855" s="20" t="s">
        <v>70</v>
      </c>
      <c r="F855" s="13">
        <f>'Приложение_7 '!G1054</f>
        <v>376731.63</v>
      </c>
      <c r="G855" s="2">
        <f>F855</f>
        <v>376731.63</v>
      </c>
      <c r="I855" s="13">
        <v>376731.63</v>
      </c>
      <c r="J855" s="2">
        <f>I855</f>
        <v>376731.63</v>
      </c>
      <c r="L855" s="69">
        <f t="shared" si="24"/>
        <v>0</v>
      </c>
      <c r="M855" s="69">
        <f t="shared" si="25"/>
        <v>0</v>
      </c>
    </row>
    <row r="856" spans="1:13" ht="63" outlineLevel="5">
      <c r="A856" s="19" t="s">
        <v>465</v>
      </c>
      <c r="B856" s="20" t="s">
        <v>165</v>
      </c>
      <c r="C856" s="20" t="s">
        <v>2</v>
      </c>
      <c r="D856" s="20" t="s">
        <v>366</v>
      </c>
      <c r="E856" s="20" t="s">
        <v>1</v>
      </c>
      <c r="F856" s="13">
        <f>F857</f>
        <v>92499.62</v>
      </c>
      <c r="G856" s="2"/>
      <c r="I856" s="13">
        <v>92499.62</v>
      </c>
      <c r="J856" s="2"/>
      <c r="L856" s="69">
        <f t="shared" si="24"/>
        <v>0</v>
      </c>
      <c r="M856" s="69">
        <f t="shared" si="25"/>
        <v>0</v>
      </c>
    </row>
    <row r="857" spans="1:13" ht="31.5" outlineLevel="6">
      <c r="A857" s="19" t="s">
        <v>692</v>
      </c>
      <c r="B857" s="20" t="s">
        <v>165</v>
      </c>
      <c r="C857" s="20" t="s">
        <v>2</v>
      </c>
      <c r="D857" s="20" t="s">
        <v>366</v>
      </c>
      <c r="E857" s="20" t="s">
        <v>70</v>
      </c>
      <c r="F857" s="13">
        <f>'Приложение_7 '!G1056</f>
        <v>92499.62</v>
      </c>
      <c r="G857" s="2"/>
      <c r="I857" s="13">
        <v>92499.62</v>
      </c>
      <c r="J857" s="2"/>
      <c r="L857" s="69">
        <f t="shared" si="24"/>
        <v>0</v>
      </c>
      <c r="M857" s="69">
        <f t="shared" si="25"/>
        <v>0</v>
      </c>
    </row>
    <row r="858" spans="1:13" ht="15.75" outlineLevel="4">
      <c r="A858" s="19" t="s">
        <v>560</v>
      </c>
      <c r="B858" s="20" t="s">
        <v>165</v>
      </c>
      <c r="C858" s="20" t="s">
        <v>2</v>
      </c>
      <c r="D858" s="20" t="s">
        <v>367</v>
      </c>
      <c r="E858" s="20" t="s">
        <v>1</v>
      </c>
      <c r="F858" s="13">
        <f>F859</f>
        <v>350722.7</v>
      </c>
      <c r="G858" s="2"/>
      <c r="I858" s="13">
        <v>343886</v>
      </c>
      <c r="J858" s="2"/>
      <c r="L858" s="69">
        <f t="shared" si="24"/>
        <v>6836.700000000012</v>
      </c>
      <c r="M858" s="69">
        <f t="shared" si="25"/>
        <v>0</v>
      </c>
    </row>
    <row r="859" spans="1:13" ht="63" outlineLevel="5">
      <c r="A859" s="19" t="s">
        <v>432</v>
      </c>
      <c r="B859" s="20" t="s">
        <v>165</v>
      </c>
      <c r="C859" s="20" t="s">
        <v>2</v>
      </c>
      <c r="D859" s="20" t="s">
        <v>368</v>
      </c>
      <c r="E859" s="20" t="s">
        <v>1</v>
      </c>
      <c r="F859" s="13">
        <f>F860</f>
        <v>350722.7</v>
      </c>
      <c r="G859" s="2"/>
      <c r="I859" s="13">
        <v>343886</v>
      </c>
      <c r="J859" s="2"/>
      <c r="L859" s="69">
        <f t="shared" si="24"/>
        <v>6836.700000000012</v>
      </c>
      <c r="M859" s="69">
        <f t="shared" si="25"/>
        <v>0</v>
      </c>
    </row>
    <row r="860" spans="1:13" ht="31.5" outlineLevel="6">
      <c r="A860" s="19" t="s">
        <v>692</v>
      </c>
      <c r="B860" s="20" t="s">
        <v>165</v>
      </c>
      <c r="C860" s="20" t="s">
        <v>2</v>
      </c>
      <c r="D860" s="20" t="s">
        <v>368</v>
      </c>
      <c r="E860" s="20" t="s">
        <v>70</v>
      </c>
      <c r="F860" s="13">
        <f>'Приложение_7 '!G1059</f>
        <v>350722.7</v>
      </c>
      <c r="G860" s="2"/>
      <c r="I860" s="13">
        <v>343886</v>
      </c>
      <c r="J860" s="2"/>
      <c r="L860" s="69">
        <f t="shared" si="24"/>
        <v>6836.700000000012</v>
      </c>
      <c r="M860" s="69">
        <f t="shared" si="25"/>
        <v>0</v>
      </c>
    </row>
    <row r="861" spans="1:13" ht="47.25" outlineLevel="3">
      <c r="A861" s="42" t="s">
        <v>648</v>
      </c>
      <c r="B861" s="43" t="s">
        <v>165</v>
      </c>
      <c r="C861" s="43" t="s">
        <v>2</v>
      </c>
      <c r="D861" s="43" t="s">
        <v>369</v>
      </c>
      <c r="E861" s="43" t="s">
        <v>1</v>
      </c>
      <c r="F861" s="12">
        <f>F862</f>
        <v>20900918.44</v>
      </c>
      <c r="G861" s="1"/>
      <c r="I861" s="12">
        <v>1598226.92</v>
      </c>
      <c r="J861" s="1"/>
      <c r="L861" s="69">
        <f t="shared" si="24"/>
        <v>19302691.520000003</v>
      </c>
      <c r="M861" s="69">
        <f t="shared" si="25"/>
        <v>0</v>
      </c>
    </row>
    <row r="862" spans="1:13" ht="47.25" outlineLevel="4">
      <c r="A862" s="19" t="s">
        <v>596</v>
      </c>
      <c r="B862" s="20" t="s">
        <v>165</v>
      </c>
      <c r="C862" s="20" t="s">
        <v>2</v>
      </c>
      <c r="D862" s="20" t="s">
        <v>370</v>
      </c>
      <c r="E862" s="20" t="s">
        <v>1</v>
      </c>
      <c r="F862" s="13">
        <f>F863</f>
        <v>20900918.44</v>
      </c>
      <c r="G862" s="2"/>
      <c r="I862" s="13">
        <v>1598226.92</v>
      </c>
      <c r="J862" s="2"/>
      <c r="L862" s="69">
        <f t="shared" si="24"/>
        <v>19302691.520000003</v>
      </c>
      <c r="M862" s="69">
        <f t="shared" si="25"/>
        <v>0</v>
      </c>
    </row>
    <row r="863" spans="1:13" ht="31.5" outlineLevel="5">
      <c r="A863" s="19" t="s">
        <v>456</v>
      </c>
      <c r="B863" s="20" t="s">
        <v>165</v>
      </c>
      <c r="C863" s="20" t="s">
        <v>2</v>
      </c>
      <c r="D863" s="20" t="s">
        <v>371</v>
      </c>
      <c r="E863" s="20" t="s">
        <v>1</v>
      </c>
      <c r="F863" s="13">
        <f>F864</f>
        <v>20900918.44</v>
      </c>
      <c r="G863" s="2"/>
      <c r="I863" s="13">
        <v>1598226.92</v>
      </c>
      <c r="J863" s="2"/>
      <c r="L863" s="69">
        <f t="shared" si="24"/>
        <v>19302691.520000003</v>
      </c>
      <c r="M863" s="69">
        <f t="shared" si="25"/>
        <v>0</v>
      </c>
    </row>
    <row r="864" spans="1:13" ht="31.5" outlineLevel="6">
      <c r="A864" s="19" t="s">
        <v>692</v>
      </c>
      <c r="B864" s="20" t="s">
        <v>165</v>
      </c>
      <c r="C864" s="20" t="s">
        <v>2</v>
      </c>
      <c r="D864" s="20" t="s">
        <v>371</v>
      </c>
      <c r="E864" s="20" t="s">
        <v>70</v>
      </c>
      <c r="F864" s="13">
        <f>'Приложение_7 '!G1063</f>
        <v>20900918.44</v>
      </c>
      <c r="G864" s="2"/>
      <c r="I864" s="13">
        <v>1598226.92</v>
      </c>
      <c r="J864" s="2"/>
      <c r="L864" s="69">
        <f t="shared" si="24"/>
        <v>19302691.520000003</v>
      </c>
      <c r="M864" s="69">
        <f t="shared" si="25"/>
        <v>0</v>
      </c>
    </row>
    <row r="865" spans="1:13" ht="31.5" outlineLevel="2">
      <c r="A865" s="42" t="s">
        <v>655</v>
      </c>
      <c r="B865" s="43" t="s">
        <v>165</v>
      </c>
      <c r="C865" s="43" t="s">
        <v>2</v>
      </c>
      <c r="D865" s="43" t="s">
        <v>90</v>
      </c>
      <c r="E865" s="43" t="s">
        <v>1</v>
      </c>
      <c r="F865" s="12">
        <f>F866</f>
        <v>1008203</v>
      </c>
      <c r="G865" s="1"/>
      <c r="I865" s="12">
        <v>1008203</v>
      </c>
      <c r="J865" s="1"/>
      <c r="L865" s="69">
        <f t="shared" si="24"/>
        <v>0</v>
      </c>
      <c r="M865" s="69">
        <f t="shared" si="25"/>
        <v>0</v>
      </c>
    </row>
    <row r="866" spans="1:13" ht="47.25" outlineLevel="3">
      <c r="A866" s="42" t="s">
        <v>620</v>
      </c>
      <c r="B866" s="43" t="s">
        <v>165</v>
      </c>
      <c r="C866" s="43" t="s">
        <v>2</v>
      </c>
      <c r="D866" s="43" t="s">
        <v>91</v>
      </c>
      <c r="E866" s="43" t="s">
        <v>1</v>
      </c>
      <c r="F866" s="12">
        <f>F867</f>
        <v>1008203</v>
      </c>
      <c r="G866" s="1"/>
      <c r="I866" s="12">
        <v>1008203</v>
      </c>
      <c r="J866" s="1"/>
      <c r="L866" s="69">
        <f t="shared" si="24"/>
        <v>0</v>
      </c>
      <c r="M866" s="69">
        <f t="shared" si="25"/>
        <v>0</v>
      </c>
    </row>
    <row r="867" spans="1:13" ht="31.5" outlineLevel="4">
      <c r="A867" s="19" t="s">
        <v>510</v>
      </c>
      <c r="B867" s="20" t="s">
        <v>165</v>
      </c>
      <c r="C867" s="20" t="s">
        <v>2</v>
      </c>
      <c r="D867" s="20" t="s">
        <v>100</v>
      </c>
      <c r="E867" s="20" t="s">
        <v>1</v>
      </c>
      <c r="F867" s="13">
        <f>F868</f>
        <v>1008203</v>
      </c>
      <c r="G867" s="2"/>
      <c r="I867" s="13">
        <v>1008203</v>
      </c>
      <c r="J867" s="2"/>
      <c r="L867" s="69">
        <f t="shared" si="24"/>
        <v>0</v>
      </c>
      <c r="M867" s="69">
        <f t="shared" si="25"/>
        <v>0</v>
      </c>
    </row>
    <row r="868" spans="1:13" ht="31.5" outlineLevel="5">
      <c r="A868" s="19" t="s">
        <v>441</v>
      </c>
      <c r="B868" s="20" t="s">
        <v>165</v>
      </c>
      <c r="C868" s="20" t="s">
        <v>2</v>
      </c>
      <c r="D868" s="20" t="s">
        <v>101</v>
      </c>
      <c r="E868" s="20" t="s">
        <v>1</v>
      </c>
      <c r="F868" s="13">
        <f>F869</f>
        <v>1008203</v>
      </c>
      <c r="G868" s="2"/>
      <c r="I868" s="13">
        <v>1008203</v>
      </c>
      <c r="J868" s="2"/>
      <c r="L868" s="69">
        <f t="shared" si="24"/>
        <v>0</v>
      </c>
      <c r="M868" s="69">
        <f t="shared" si="25"/>
        <v>0</v>
      </c>
    </row>
    <row r="869" spans="1:13" ht="31.5" outlineLevel="6">
      <c r="A869" s="19" t="s">
        <v>692</v>
      </c>
      <c r="B869" s="20" t="s">
        <v>165</v>
      </c>
      <c r="C869" s="20" t="s">
        <v>2</v>
      </c>
      <c r="D869" s="20" t="s">
        <v>101</v>
      </c>
      <c r="E869" s="20" t="s">
        <v>70</v>
      </c>
      <c r="F869" s="13">
        <f>'Приложение_7 '!G1068</f>
        <v>1008203</v>
      </c>
      <c r="G869" s="2"/>
      <c r="I869" s="13">
        <v>1008203</v>
      </c>
      <c r="J869" s="2"/>
      <c r="L869" s="69">
        <f t="shared" si="24"/>
        <v>0</v>
      </c>
      <c r="M869" s="69">
        <f t="shared" si="25"/>
        <v>0</v>
      </c>
    </row>
    <row r="870" spans="1:13" s="68" customFormat="1" ht="15.75">
      <c r="A870" s="42" t="s">
        <v>699</v>
      </c>
      <c r="B870" s="43" t="s">
        <v>187</v>
      </c>
      <c r="C870" s="43" t="s">
        <v>3</v>
      </c>
      <c r="D870" s="43" t="s">
        <v>4</v>
      </c>
      <c r="E870" s="43" t="s">
        <v>1</v>
      </c>
      <c r="F870" s="12">
        <f>F871+F875+F914</f>
        <v>71666064.61</v>
      </c>
      <c r="G870" s="12">
        <f>G871+G875+G914</f>
        <v>63381200</v>
      </c>
      <c r="I870" s="12">
        <v>71666064.61</v>
      </c>
      <c r="J870" s="1">
        <f>J875+J914</f>
        <v>63381200</v>
      </c>
      <c r="L870" s="69">
        <f t="shared" si="24"/>
        <v>0</v>
      </c>
      <c r="M870" s="69">
        <f t="shared" si="25"/>
        <v>0</v>
      </c>
    </row>
    <row r="871" spans="1:13" s="68" customFormat="1" ht="25.5" customHeight="1" outlineLevel="1">
      <c r="A871" s="42" t="s">
        <v>682</v>
      </c>
      <c r="B871" s="43" t="s">
        <v>187</v>
      </c>
      <c r="C871" s="43" t="s">
        <v>2</v>
      </c>
      <c r="D871" s="43" t="s">
        <v>4</v>
      </c>
      <c r="E871" s="43" t="s">
        <v>1</v>
      </c>
      <c r="F871" s="12">
        <f>F872</f>
        <v>8284864.61</v>
      </c>
      <c r="G871" s="1"/>
      <c r="I871" s="12">
        <v>8284864.61</v>
      </c>
      <c r="J871" s="1"/>
      <c r="L871" s="69">
        <f t="shared" si="24"/>
        <v>0</v>
      </c>
      <c r="M871" s="69">
        <f t="shared" si="25"/>
        <v>0</v>
      </c>
    </row>
    <row r="872" spans="1:13" ht="15.75" outlineLevel="2">
      <c r="A872" s="42" t="s">
        <v>490</v>
      </c>
      <c r="B872" s="43" t="s">
        <v>187</v>
      </c>
      <c r="C872" s="43" t="s">
        <v>2</v>
      </c>
      <c r="D872" s="43" t="s">
        <v>11</v>
      </c>
      <c r="E872" s="43" t="s">
        <v>1</v>
      </c>
      <c r="F872" s="12">
        <f>F873</f>
        <v>8284864.61</v>
      </c>
      <c r="G872" s="1"/>
      <c r="I872" s="12">
        <v>8284864.61</v>
      </c>
      <c r="J872" s="1"/>
      <c r="L872" s="69">
        <f t="shared" si="24"/>
        <v>0</v>
      </c>
      <c r="M872" s="69">
        <f t="shared" si="25"/>
        <v>0</v>
      </c>
    </row>
    <row r="873" spans="1:13" ht="78.75" outlineLevel="5">
      <c r="A873" s="19" t="s">
        <v>472</v>
      </c>
      <c r="B873" s="20" t="s">
        <v>187</v>
      </c>
      <c r="C873" s="20" t="s">
        <v>2</v>
      </c>
      <c r="D873" s="20" t="s">
        <v>372</v>
      </c>
      <c r="E873" s="20" t="s">
        <v>1</v>
      </c>
      <c r="F873" s="13">
        <f>F874</f>
        <v>8284864.61</v>
      </c>
      <c r="G873" s="2"/>
      <c r="I873" s="13">
        <v>8284864.61</v>
      </c>
      <c r="J873" s="2"/>
      <c r="L873" s="69">
        <f t="shared" si="24"/>
        <v>0</v>
      </c>
      <c r="M873" s="69">
        <f t="shared" si="25"/>
        <v>0</v>
      </c>
    </row>
    <row r="874" spans="1:13" ht="31.5" outlineLevel="6">
      <c r="A874" s="19" t="s">
        <v>690</v>
      </c>
      <c r="B874" s="20" t="s">
        <v>187</v>
      </c>
      <c r="C874" s="20" t="s">
        <v>2</v>
      </c>
      <c r="D874" s="20" t="s">
        <v>372</v>
      </c>
      <c r="E874" s="20" t="s">
        <v>47</v>
      </c>
      <c r="F874" s="13">
        <f>'Приложение_7 '!G279</f>
        <v>8284864.61</v>
      </c>
      <c r="G874" s="2"/>
      <c r="I874" s="13">
        <v>8284864.61</v>
      </c>
      <c r="J874" s="2"/>
      <c r="L874" s="69">
        <f t="shared" si="24"/>
        <v>0</v>
      </c>
      <c r="M874" s="69">
        <f t="shared" si="25"/>
        <v>0</v>
      </c>
    </row>
    <row r="875" spans="1:13" s="68" customFormat="1" ht="30.75" customHeight="1" outlineLevel="1">
      <c r="A875" s="42" t="s">
        <v>683</v>
      </c>
      <c r="B875" s="43" t="s">
        <v>187</v>
      </c>
      <c r="C875" s="43" t="s">
        <v>14</v>
      </c>
      <c r="D875" s="43" t="s">
        <v>4</v>
      </c>
      <c r="E875" s="43" t="s">
        <v>1</v>
      </c>
      <c r="F875" s="12">
        <f>F876+F901</f>
        <v>5030800</v>
      </c>
      <c r="G875" s="12">
        <f>G876+G901</f>
        <v>5030800</v>
      </c>
      <c r="I875" s="12">
        <v>5030800</v>
      </c>
      <c r="J875" s="12">
        <v>5030800</v>
      </c>
      <c r="L875" s="69">
        <f t="shared" si="24"/>
        <v>0</v>
      </c>
      <c r="M875" s="69">
        <f t="shared" si="25"/>
        <v>0</v>
      </c>
    </row>
    <row r="876" spans="1:13" ht="31.5" outlineLevel="2">
      <c r="A876" s="42" t="s">
        <v>653</v>
      </c>
      <c r="B876" s="43" t="s">
        <v>187</v>
      </c>
      <c r="C876" s="43" t="s">
        <v>14</v>
      </c>
      <c r="D876" s="43" t="s">
        <v>23</v>
      </c>
      <c r="E876" s="43" t="s">
        <v>1</v>
      </c>
      <c r="F876" s="12">
        <f>F877+F883+F889</f>
        <v>4414636</v>
      </c>
      <c r="G876" s="12">
        <f>G877+G883+G889</f>
        <v>4414636</v>
      </c>
      <c r="I876" s="12">
        <v>4414636</v>
      </c>
      <c r="J876" s="12">
        <v>4414636</v>
      </c>
      <c r="L876" s="69">
        <f t="shared" si="24"/>
        <v>0</v>
      </c>
      <c r="M876" s="69">
        <f t="shared" si="25"/>
        <v>0</v>
      </c>
    </row>
    <row r="877" spans="1:13" ht="31.5" outlineLevel="3">
      <c r="A877" s="42" t="s">
        <v>636</v>
      </c>
      <c r="B877" s="43" t="s">
        <v>187</v>
      </c>
      <c r="C877" s="43" t="s">
        <v>14</v>
      </c>
      <c r="D877" s="43" t="s">
        <v>240</v>
      </c>
      <c r="E877" s="43" t="s">
        <v>1</v>
      </c>
      <c r="F877" s="12">
        <f>F878</f>
        <v>305472.00000000006</v>
      </c>
      <c r="G877" s="12">
        <f>G878</f>
        <v>305472.00000000006</v>
      </c>
      <c r="I877" s="12">
        <v>723921.96</v>
      </c>
      <c r="J877" s="1">
        <f>J878</f>
        <v>723921.96</v>
      </c>
      <c r="L877" s="69">
        <f t="shared" si="24"/>
        <v>-418449.9599999999</v>
      </c>
      <c r="M877" s="69">
        <f t="shared" si="25"/>
        <v>-418449.9599999999</v>
      </c>
    </row>
    <row r="878" spans="1:13" ht="15.75" outlineLevel="4">
      <c r="A878" s="19" t="s">
        <v>560</v>
      </c>
      <c r="B878" s="20" t="s">
        <v>187</v>
      </c>
      <c r="C878" s="20" t="s">
        <v>14</v>
      </c>
      <c r="D878" s="20" t="s">
        <v>247</v>
      </c>
      <c r="E878" s="20" t="s">
        <v>1</v>
      </c>
      <c r="F878" s="13">
        <f>F879+F881</f>
        <v>305472.00000000006</v>
      </c>
      <c r="G878" s="13">
        <f>G879+G881</f>
        <v>305472.00000000006</v>
      </c>
      <c r="I878" s="13">
        <v>723921.96</v>
      </c>
      <c r="J878" s="2">
        <f>I878</f>
        <v>723921.96</v>
      </c>
      <c r="L878" s="69">
        <f t="shared" si="24"/>
        <v>-418449.9599999999</v>
      </c>
      <c r="M878" s="69">
        <f t="shared" si="25"/>
        <v>-418449.9599999999</v>
      </c>
    </row>
    <row r="879" spans="1:13" ht="78.75" outlineLevel="5">
      <c r="A879" s="19" t="s">
        <v>473</v>
      </c>
      <c r="B879" s="20" t="s">
        <v>187</v>
      </c>
      <c r="C879" s="20" t="s">
        <v>14</v>
      </c>
      <c r="D879" s="20" t="s">
        <v>373</v>
      </c>
      <c r="E879" s="20" t="s">
        <v>1</v>
      </c>
      <c r="F879" s="13">
        <f>F880</f>
        <v>472</v>
      </c>
      <c r="G879" s="13">
        <f>G880</f>
        <v>472</v>
      </c>
      <c r="I879" s="13">
        <v>1887.92</v>
      </c>
      <c r="J879" s="2">
        <f>J880</f>
        <v>1887.92</v>
      </c>
      <c r="L879" s="69">
        <f t="shared" si="24"/>
        <v>-1415.92</v>
      </c>
      <c r="M879" s="69">
        <f t="shared" si="25"/>
        <v>-1415.92</v>
      </c>
    </row>
    <row r="880" spans="1:13" ht="31.5" outlineLevel="6">
      <c r="A880" s="19" t="s">
        <v>692</v>
      </c>
      <c r="B880" s="20" t="s">
        <v>187</v>
      </c>
      <c r="C880" s="20" t="s">
        <v>14</v>
      </c>
      <c r="D880" s="20" t="s">
        <v>373</v>
      </c>
      <c r="E880" s="20" t="s">
        <v>70</v>
      </c>
      <c r="F880" s="13">
        <f>'Приложение_7 '!G864</f>
        <v>472</v>
      </c>
      <c r="G880" s="2">
        <f>F880</f>
        <v>472</v>
      </c>
      <c r="I880" s="13">
        <v>1887.92</v>
      </c>
      <c r="J880" s="2">
        <f>I880</f>
        <v>1887.92</v>
      </c>
      <c r="L880" s="69">
        <f t="shared" si="24"/>
        <v>-1415.92</v>
      </c>
      <c r="M880" s="69">
        <f t="shared" si="25"/>
        <v>-1415.92</v>
      </c>
    </row>
    <row r="881" spans="1:13" ht="78.75" outlineLevel="5">
      <c r="A881" s="19" t="s">
        <v>474</v>
      </c>
      <c r="B881" s="20" t="s">
        <v>187</v>
      </c>
      <c r="C881" s="20" t="s">
        <v>14</v>
      </c>
      <c r="D881" s="20" t="s">
        <v>374</v>
      </c>
      <c r="E881" s="20" t="s">
        <v>1</v>
      </c>
      <c r="F881" s="13">
        <f>F882</f>
        <v>305000.00000000006</v>
      </c>
      <c r="G881" s="13">
        <f>G882</f>
        <v>305000.00000000006</v>
      </c>
      <c r="I881" s="13">
        <v>722034.04</v>
      </c>
      <c r="J881" s="2">
        <f>I881</f>
        <v>722034.04</v>
      </c>
      <c r="L881" s="69">
        <f t="shared" si="24"/>
        <v>-417034.04</v>
      </c>
      <c r="M881" s="69">
        <f t="shared" si="25"/>
        <v>-417034.04</v>
      </c>
    </row>
    <row r="882" spans="1:13" ht="31.5" outlineLevel="6">
      <c r="A882" s="19" t="s">
        <v>692</v>
      </c>
      <c r="B882" s="20" t="s">
        <v>187</v>
      </c>
      <c r="C882" s="20" t="s">
        <v>14</v>
      </c>
      <c r="D882" s="20" t="s">
        <v>374</v>
      </c>
      <c r="E882" s="20" t="s">
        <v>70</v>
      </c>
      <c r="F882" s="13">
        <f>'Приложение_7 '!G866</f>
        <v>305000.00000000006</v>
      </c>
      <c r="G882" s="13">
        <f>F882</f>
        <v>305000.00000000006</v>
      </c>
      <c r="I882" s="13">
        <v>722034.04</v>
      </c>
      <c r="J882" s="13">
        <v>722034.04</v>
      </c>
      <c r="L882" s="69">
        <f t="shared" si="24"/>
        <v>-417034.04</v>
      </c>
      <c r="M882" s="69">
        <f t="shared" si="25"/>
        <v>-417034.04</v>
      </c>
    </row>
    <row r="883" spans="1:13" ht="47.25" outlineLevel="3">
      <c r="A883" s="42" t="s">
        <v>638</v>
      </c>
      <c r="B883" s="43" t="s">
        <v>187</v>
      </c>
      <c r="C883" s="43" t="s">
        <v>14</v>
      </c>
      <c r="D883" s="43" t="s">
        <v>256</v>
      </c>
      <c r="E883" s="43" t="s">
        <v>1</v>
      </c>
      <c r="F883" s="12">
        <f>F884</f>
        <v>1778664</v>
      </c>
      <c r="G883" s="12">
        <f>G884</f>
        <v>1778664</v>
      </c>
      <c r="I883" s="12">
        <v>1360214.04</v>
      </c>
      <c r="J883" s="12">
        <v>1360214.04</v>
      </c>
      <c r="L883" s="69">
        <f t="shared" si="24"/>
        <v>418449.95999999996</v>
      </c>
      <c r="M883" s="69">
        <f t="shared" si="25"/>
        <v>418449.95999999996</v>
      </c>
    </row>
    <row r="884" spans="1:13" ht="15.75" outlineLevel="4">
      <c r="A884" s="19" t="s">
        <v>560</v>
      </c>
      <c r="B884" s="20" t="s">
        <v>187</v>
      </c>
      <c r="C884" s="20" t="s">
        <v>14</v>
      </c>
      <c r="D884" s="20" t="s">
        <v>269</v>
      </c>
      <c r="E884" s="20" t="s">
        <v>1</v>
      </c>
      <c r="F884" s="13">
        <f>F885+F887</f>
        <v>1778664</v>
      </c>
      <c r="G884" s="13">
        <f>G885+G887</f>
        <v>1778664</v>
      </c>
      <c r="I884" s="13">
        <v>1360214.04</v>
      </c>
      <c r="J884" s="13">
        <v>1360214.04</v>
      </c>
      <c r="L884" s="69">
        <f t="shared" si="24"/>
        <v>418449.95999999996</v>
      </c>
      <c r="M884" s="69">
        <f t="shared" si="25"/>
        <v>418449.95999999996</v>
      </c>
    </row>
    <row r="885" spans="1:13" ht="78.75" outlineLevel="5">
      <c r="A885" s="19" t="s">
        <v>473</v>
      </c>
      <c r="B885" s="20" t="s">
        <v>187</v>
      </c>
      <c r="C885" s="20" t="s">
        <v>14</v>
      </c>
      <c r="D885" s="20" t="s">
        <v>375</v>
      </c>
      <c r="E885" s="20" t="s">
        <v>1</v>
      </c>
      <c r="F885" s="13">
        <f>F886</f>
        <v>4964</v>
      </c>
      <c r="G885" s="13">
        <f>G886</f>
        <v>4964</v>
      </c>
      <c r="I885" s="13">
        <v>3548.08</v>
      </c>
      <c r="J885" s="13">
        <v>3548.08</v>
      </c>
      <c r="L885" s="69">
        <f t="shared" si="24"/>
        <v>1415.92</v>
      </c>
      <c r="M885" s="69">
        <f t="shared" si="25"/>
        <v>1415.92</v>
      </c>
    </row>
    <row r="886" spans="1:13" ht="31.5" outlineLevel="6">
      <c r="A886" s="19" t="s">
        <v>692</v>
      </c>
      <c r="B886" s="20" t="s">
        <v>187</v>
      </c>
      <c r="C886" s="20" t="s">
        <v>14</v>
      </c>
      <c r="D886" s="20" t="s">
        <v>375</v>
      </c>
      <c r="E886" s="20" t="s">
        <v>70</v>
      </c>
      <c r="F886" s="13">
        <f>'Приложение_7 '!G870</f>
        <v>4964</v>
      </c>
      <c r="G886" s="2">
        <f>F886</f>
        <v>4964</v>
      </c>
      <c r="I886" s="13">
        <v>3548.08</v>
      </c>
      <c r="J886" s="2">
        <f>I886</f>
        <v>3548.08</v>
      </c>
      <c r="L886" s="69">
        <f t="shared" si="24"/>
        <v>1415.92</v>
      </c>
      <c r="M886" s="69">
        <f t="shared" si="25"/>
        <v>1415.92</v>
      </c>
    </row>
    <row r="887" spans="1:13" ht="78.75" outlineLevel="5">
      <c r="A887" s="19" t="s">
        <v>474</v>
      </c>
      <c r="B887" s="20" t="s">
        <v>187</v>
      </c>
      <c r="C887" s="20" t="s">
        <v>14</v>
      </c>
      <c r="D887" s="20" t="s">
        <v>376</v>
      </c>
      <c r="E887" s="20" t="s">
        <v>1</v>
      </c>
      <c r="F887" s="13">
        <f>F888</f>
        <v>1773700</v>
      </c>
      <c r="G887" s="13">
        <f>G888</f>
        <v>1773700</v>
      </c>
      <c r="I887" s="13">
        <v>1356665.96</v>
      </c>
      <c r="J887" s="2">
        <f>I887</f>
        <v>1356665.96</v>
      </c>
      <c r="L887" s="69">
        <f t="shared" si="24"/>
        <v>417034.04000000004</v>
      </c>
      <c r="M887" s="69">
        <f t="shared" si="25"/>
        <v>417034.04000000004</v>
      </c>
    </row>
    <row r="888" spans="1:13" ht="31.5" outlineLevel="6">
      <c r="A888" s="19" t="s">
        <v>692</v>
      </c>
      <c r="B888" s="20" t="s">
        <v>187</v>
      </c>
      <c r="C888" s="20" t="s">
        <v>14</v>
      </c>
      <c r="D888" s="20" t="s">
        <v>376</v>
      </c>
      <c r="E888" s="20" t="s">
        <v>70</v>
      </c>
      <c r="F888" s="13">
        <f>'Приложение_7 '!G872</f>
        <v>1773700</v>
      </c>
      <c r="G888" s="13">
        <f>F888</f>
        <v>1773700</v>
      </c>
      <c r="I888" s="13">
        <v>1356665.96</v>
      </c>
      <c r="J888" s="13">
        <v>1356665.96</v>
      </c>
      <c r="L888" s="69">
        <f t="shared" si="24"/>
        <v>417034.04000000004</v>
      </c>
      <c r="M888" s="69">
        <f t="shared" si="25"/>
        <v>417034.04000000004</v>
      </c>
    </row>
    <row r="889" spans="1:13" ht="47.25" outlineLevel="3">
      <c r="A889" s="42" t="s">
        <v>610</v>
      </c>
      <c r="B889" s="43" t="s">
        <v>187</v>
      </c>
      <c r="C889" s="43" t="s">
        <v>14</v>
      </c>
      <c r="D889" s="43" t="s">
        <v>24</v>
      </c>
      <c r="E889" s="43" t="s">
        <v>1</v>
      </c>
      <c r="F889" s="12">
        <f>F890+F893+F898</f>
        <v>2330500</v>
      </c>
      <c r="G889" s="12">
        <f>G890+G893+G898</f>
        <v>2330500</v>
      </c>
      <c r="I889" s="12">
        <v>2330500</v>
      </c>
      <c r="J889" s="12">
        <v>2330500</v>
      </c>
      <c r="L889" s="69">
        <f t="shared" si="24"/>
        <v>0</v>
      </c>
      <c r="M889" s="69">
        <f t="shared" si="25"/>
        <v>0</v>
      </c>
    </row>
    <row r="890" spans="1:13" ht="157.5" outlineLevel="4">
      <c r="A890" s="19" t="s">
        <v>597</v>
      </c>
      <c r="B890" s="20" t="s">
        <v>187</v>
      </c>
      <c r="C890" s="20" t="s">
        <v>14</v>
      </c>
      <c r="D890" s="20" t="s">
        <v>377</v>
      </c>
      <c r="E890" s="20" t="s">
        <v>1</v>
      </c>
      <c r="F890" s="13">
        <f>F891</f>
        <v>147100</v>
      </c>
      <c r="G890" s="13">
        <f>G891</f>
        <v>147100</v>
      </c>
      <c r="I890" s="13">
        <v>147100</v>
      </c>
      <c r="J890" s="13">
        <v>147100</v>
      </c>
      <c r="L890" s="69">
        <f t="shared" si="24"/>
        <v>0</v>
      </c>
      <c r="M890" s="69">
        <f t="shared" si="25"/>
        <v>0</v>
      </c>
    </row>
    <row r="891" spans="1:13" ht="157.5" outlineLevel="5">
      <c r="A891" s="19" t="s">
        <v>475</v>
      </c>
      <c r="B891" s="20" t="s">
        <v>187</v>
      </c>
      <c r="C891" s="20" t="s">
        <v>14</v>
      </c>
      <c r="D891" s="20" t="s">
        <v>378</v>
      </c>
      <c r="E891" s="20" t="s">
        <v>1</v>
      </c>
      <c r="F891" s="13">
        <f>F892</f>
        <v>147100</v>
      </c>
      <c r="G891" s="13">
        <f>G892</f>
        <v>147100</v>
      </c>
      <c r="I891" s="13">
        <v>147100</v>
      </c>
      <c r="J891" s="13">
        <v>147100</v>
      </c>
      <c r="L891" s="69">
        <f t="shared" si="24"/>
        <v>0</v>
      </c>
      <c r="M891" s="69">
        <f t="shared" si="25"/>
        <v>0</v>
      </c>
    </row>
    <row r="892" spans="1:13" ht="31.5" outlineLevel="6">
      <c r="A892" s="19" t="s">
        <v>690</v>
      </c>
      <c r="B892" s="20" t="s">
        <v>187</v>
      </c>
      <c r="C892" s="20" t="s">
        <v>14</v>
      </c>
      <c r="D892" s="20" t="s">
        <v>378</v>
      </c>
      <c r="E892" s="20" t="s">
        <v>47</v>
      </c>
      <c r="F892" s="13">
        <f>'Приложение_7 '!G876</f>
        <v>147100</v>
      </c>
      <c r="G892" s="13">
        <f>F892</f>
        <v>147100</v>
      </c>
      <c r="I892" s="13">
        <v>147100</v>
      </c>
      <c r="J892" s="13">
        <v>147100</v>
      </c>
      <c r="L892" s="69">
        <f t="shared" si="24"/>
        <v>0</v>
      </c>
      <c r="M892" s="69">
        <f t="shared" si="25"/>
        <v>0</v>
      </c>
    </row>
    <row r="893" spans="1:13" ht="94.5" outlineLevel="4">
      <c r="A893" s="19" t="s">
        <v>598</v>
      </c>
      <c r="B893" s="20" t="s">
        <v>187</v>
      </c>
      <c r="C893" s="20" t="s">
        <v>14</v>
      </c>
      <c r="D893" s="20" t="s">
        <v>379</v>
      </c>
      <c r="E893" s="20" t="s">
        <v>1</v>
      </c>
      <c r="F893" s="13">
        <f>F894+F896</f>
        <v>1869400</v>
      </c>
      <c r="G893" s="13">
        <f>G894+G896</f>
        <v>1869400</v>
      </c>
      <c r="I893" s="13">
        <v>1869400</v>
      </c>
      <c r="J893" s="2">
        <f>I893</f>
        <v>1869400</v>
      </c>
      <c r="L893" s="69">
        <f t="shared" si="24"/>
        <v>0</v>
      </c>
      <c r="M893" s="69">
        <f t="shared" si="25"/>
        <v>0</v>
      </c>
    </row>
    <row r="894" spans="1:13" ht="94.5" outlineLevel="5">
      <c r="A894" s="19" t="s">
        <v>476</v>
      </c>
      <c r="B894" s="20" t="s">
        <v>187</v>
      </c>
      <c r="C894" s="20" t="s">
        <v>14</v>
      </c>
      <c r="D894" s="20" t="s">
        <v>380</v>
      </c>
      <c r="E894" s="20" t="s">
        <v>1</v>
      </c>
      <c r="F894" s="13">
        <f>F895</f>
        <v>1847600</v>
      </c>
      <c r="G894" s="13">
        <f>G895</f>
        <v>1847600</v>
      </c>
      <c r="I894" s="13">
        <v>1847600</v>
      </c>
      <c r="J894" s="2">
        <f>I894</f>
        <v>1847600</v>
      </c>
      <c r="L894" s="69">
        <f t="shared" si="24"/>
        <v>0</v>
      </c>
      <c r="M894" s="69">
        <f t="shared" si="25"/>
        <v>0</v>
      </c>
    </row>
    <row r="895" spans="1:13" ht="31.5" outlineLevel="6">
      <c r="A895" s="19" t="s">
        <v>690</v>
      </c>
      <c r="B895" s="20" t="s">
        <v>187</v>
      </c>
      <c r="C895" s="20" t="s">
        <v>14</v>
      </c>
      <c r="D895" s="20" t="s">
        <v>380</v>
      </c>
      <c r="E895" s="20" t="s">
        <v>47</v>
      </c>
      <c r="F895" s="13">
        <f>'Приложение_7 '!G879</f>
        <v>1847600</v>
      </c>
      <c r="G895" s="2">
        <f>F895</f>
        <v>1847600</v>
      </c>
      <c r="I895" s="13">
        <v>1847600</v>
      </c>
      <c r="J895" s="2">
        <f>I895</f>
        <v>1847600</v>
      </c>
      <c r="L895" s="69">
        <f t="shared" si="24"/>
        <v>0</v>
      </c>
      <c r="M895" s="69">
        <f t="shared" si="25"/>
        <v>0</v>
      </c>
    </row>
    <row r="896" spans="1:13" ht="94.5" outlineLevel="5">
      <c r="A896" s="19" t="s">
        <v>477</v>
      </c>
      <c r="B896" s="20" t="s">
        <v>187</v>
      </c>
      <c r="C896" s="20" t="s">
        <v>14</v>
      </c>
      <c r="D896" s="20" t="s">
        <v>381</v>
      </c>
      <c r="E896" s="20" t="s">
        <v>1</v>
      </c>
      <c r="F896" s="13">
        <f>F897</f>
        <v>21800</v>
      </c>
      <c r="G896" s="13">
        <f>G897</f>
        <v>21800</v>
      </c>
      <c r="I896" s="13">
        <v>21800</v>
      </c>
      <c r="J896" s="13">
        <v>21800</v>
      </c>
      <c r="L896" s="69">
        <f t="shared" si="24"/>
        <v>0</v>
      </c>
      <c r="M896" s="69">
        <f t="shared" si="25"/>
        <v>0</v>
      </c>
    </row>
    <row r="897" spans="1:13" ht="78.75" outlineLevel="6">
      <c r="A897" s="19" t="s">
        <v>704</v>
      </c>
      <c r="B897" s="20" t="s">
        <v>187</v>
      </c>
      <c r="C897" s="20" t="s">
        <v>14</v>
      </c>
      <c r="D897" s="20" t="s">
        <v>381</v>
      </c>
      <c r="E897" s="20" t="s">
        <v>10</v>
      </c>
      <c r="F897" s="13">
        <f>'Приложение_7 '!G881</f>
        <v>21800</v>
      </c>
      <c r="G897" s="13">
        <f>F897</f>
        <v>21800</v>
      </c>
      <c r="I897" s="13">
        <v>21800</v>
      </c>
      <c r="J897" s="13">
        <v>21800</v>
      </c>
      <c r="L897" s="69">
        <f t="shared" si="24"/>
        <v>0</v>
      </c>
      <c r="M897" s="69">
        <f t="shared" si="25"/>
        <v>0</v>
      </c>
    </row>
    <row r="898" spans="1:13" ht="94.5" outlineLevel="4">
      <c r="A898" s="19" t="s">
        <v>599</v>
      </c>
      <c r="B898" s="20" t="s">
        <v>187</v>
      </c>
      <c r="C898" s="20" t="s">
        <v>14</v>
      </c>
      <c r="D898" s="20" t="s">
        <v>382</v>
      </c>
      <c r="E898" s="20" t="s">
        <v>1</v>
      </c>
      <c r="F898" s="13">
        <f>F899</f>
        <v>314000</v>
      </c>
      <c r="G898" s="13">
        <f>G899</f>
        <v>314000</v>
      </c>
      <c r="I898" s="13">
        <v>314000</v>
      </c>
      <c r="J898" s="13">
        <v>314000</v>
      </c>
      <c r="L898" s="69">
        <f t="shared" si="24"/>
        <v>0</v>
      </c>
      <c r="M898" s="69">
        <f t="shared" si="25"/>
        <v>0</v>
      </c>
    </row>
    <row r="899" spans="1:13" ht="141.75" outlineLevel="5">
      <c r="A899" s="19" t="s">
        <v>478</v>
      </c>
      <c r="B899" s="20" t="s">
        <v>187</v>
      </c>
      <c r="C899" s="20" t="s">
        <v>14</v>
      </c>
      <c r="D899" s="20" t="s">
        <v>383</v>
      </c>
      <c r="E899" s="20" t="s">
        <v>1</v>
      </c>
      <c r="F899" s="13">
        <f>F900</f>
        <v>314000</v>
      </c>
      <c r="G899" s="13">
        <f>G900</f>
        <v>314000</v>
      </c>
      <c r="I899" s="13">
        <v>314000</v>
      </c>
      <c r="J899" s="13">
        <v>314000</v>
      </c>
      <c r="L899" s="69">
        <f t="shared" si="24"/>
        <v>0</v>
      </c>
      <c r="M899" s="69">
        <f t="shared" si="25"/>
        <v>0</v>
      </c>
    </row>
    <row r="900" spans="1:13" ht="31.5" outlineLevel="6">
      <c r="A900" s="19" t="s">
        <v>690</v>
      </c>
      <c r="B900" s="20" t="s">
        <v>187</v>
      </c>
      <c r="C900" s="20" t="s">
        <v>14</v>
      </c>
      <c r="D900" s="20" t="s">
        <v>383</v>
      </c>
      <c r="E900" s="20" t="s">
        <v>47</v>
      </c>
      <c r="F900" s="13">
        <f>'Приложение_7 '!G884</f>
        <v>314000</v>
      </c>
      <c r="G900" s="13">
        <f>F900</f>
        <v>314000</v>
      </c>
      <c r="I900" s="13">
        <v>314000</v>
      </c>
      <c r="J900" s="13">
        <v>314000</v>
      </c>
      <c r="L900" s="69">
        <f t="shared" si="24"/>
        <v>0</v>
      </c>
      <c r="M900" s="69">
        <f t="shared" si="25"/>
        <v>0</v>
      </c>
    </row>
    <row r="901" spans="1:13" ht="47.25" outlineLevel="2">
      <c r="A901" s="42" t="s">
        <v>657</v>
      </c>
      <c r="B901" s="43" t="s">
        <v>187</v>
      </c>
      <c r="C901" s="43" t="s">
        <v>14</v>
      </c>
      <c r="D901" s="43" t="s">
        <v>279</v>
      </c>
      <c r="E901" s="43" t="s">
        <v>1</v>
      </c>
      <c r="F901" s="12">
        <f>F902+F908</f>
        <v>616164</v>
      </c>
      <c r="G901" s="12">
        <f>G902+G908</f>
        <v>616164</v>
      </c>
      <c r="I901" s="12">
        <v>616164</v>
      </c>
      <c r="J901" s="12">
        <v>616164</v>
      </c>
      <c r="L901" s="69">
        <f t="shared" si="24"/>
        <v>0</v>
      </c>
      <c r="M901" s="69">
        <f t="shared" si="25"/>
        <v>0</v>
      </c>
    </row>
    <row r="902" spans="1:13" ht="47.25" outlineLevel="3">
      <c r="A902" s="42" t="s">
        <v>639</v>
      </c>
      <c r="B902" s="43" t="s">
        <v>187</v>
      </c>
      <c r="C902" s="43" t="s">
        <v>14</v>
      </c>
      <c r="D902" s="43" t="s">
        <v>280</v>
      </c>
      <c r="E902" s="43" t="s">
        <v>1</v>
      </c>
      <c r="F902" s="12">
        <f>F903</f>
        <v>487403.05</v>
      </c>
      <c r="G902" s="12">
        <f>G903</f>
        <v>487403.05</v>
      </c>
      <c r="I902" s="12">
        <v>493936</v>
      </c>
      <c r="J902" s="12">
        <v>493936</v>
      </c>
      <c r="L902" s="69">
        <f t="shared" si="24"/>
        <v>-6532.950000000012</v>
      </c>
      <c r="M902" s="69">
        <f t="shared" si="25"/>
        <v>-6532.950000000012</v>
      </c>
    </row>
    <row r="903" spans="1:13" ht="15.75" outlineLevel="4">
      <c r="A903" s="19" t="s">
        <v>560</v>
      </c>
      <c r="B903" s="20" t="s">
        <v>187</v>
      </c>
      <c r="C903" s="20" t="s">
        <v>14</v>
      </c>
      <c r="D903" s="20" t="s">
        <v>341</v>
      </c>
      <c r="E903" s="20" t="s">
        <v>1</v>
      </c>
      <c r="F903" s="13">
        <f>F904+F906</f>
        <v>487403.05</v>
      </c>
      <c r="G903" s="13">
        <f>G904+G906</f>
        <v>487403.05</v>
      </c>
      <c r="I903" s="13">
        <v>493936</v>
      </c>
      <c r="J903" s="13">
        <v>493936</v>
      </c>
      <c r="L903" s="69">
        <f t="shared" si="24"/>
        <v>-6532.950000000012</v>
      </c>
      <c r="M903" s="69">
        <f t="shared" si="25"/>
        <v>-6532.950000000012</v>
      </c>
    </row>
    <row r="904" spans="1:13" ht="78.75" outlineLevel="5">
      <c r="A904" s="19" t="s">
        <v>473</v>
      </c>
      <c r="B904" s="20" t="s">
        <v>187</v>
      </c>
      <c r="C904" s="20" t="s">
        <v>14</v>
      </c>
      <c r="D904" s="20" t="s">
        <v>384</v>
      </c>
      <c r="E904" s="20" t="s">
        <v>1</v>
      </c>
      <c r="F904" s="13">
        <f>F905</f>
        <v>5536</v>
      </c>
      <c r="G904" s="13">
        <f>G905</f>
        <v>5536</v>
      </c>
      <c r="I904" s="13">
        <v>5536</v>
      </c>
      <c r="J904" s="13">
        <v>5536</v>
      </c>
      <c r="L904" s="69">
        <f t="shared" si="24"/>
        <v>0</v>
      </c>
      <c r="M904" s="69">
        <f t="shared" si="25"/>
        <v>0</v>
      </c>
    </row>
    <row r="905" spans="1:13" ht="31.5" outlineLevel="6">
      <c r="A905" s="19" t="s">
        <v>692</v>
      </c>
      <c r="B905" s="20" t="s">
        <v>187</v>
      </c>
      <c r="C905" s="20" t="s">
        <v>14</v>
      </c>
      <c r="D905" s="20" t="s">
        <v>384</v>
      </c>
      <c r="E905" s="20" t="s">
        <v>70</v>
      </c>
      <c r="F905" s="13">
        <f>'Приложение_7 '!G1075</f>
        <v>5536</v>
      </c>
      <c r="G905" s="13">
        <f>F905</f>
        <v>5536</v>
      </c>
      <c r="I905" s="13">
        <v>5536</v>
      </c>
      <c r="J905" s="13">
        <v>5536</v>
      </c>
      <c r="L905" s="69">
        <f t="shared" si="24"/>
        <v>0</v>
      </c>
      <c r="M905" s="69">
        <f t="shared" si="25"/>
        <v>0</v>
      </c>
    </row>
    <row r="906" spans="1:13" ht="78.75" outlineLevel="5">
      <c r="A906" s="19" t="s">
        <v>474</v>
      </c>
      <c r="B906" s="20" t="s">
        <v>187</v>
      </c>
      <c r="C906" s="20" t="s">
        <v>14</v>
      </c>
      <c r="D906" s="20" t="s">
        <v>385</v>
      </c>
      <c r="E906" s="20" t="s">
        <v>1</v>
      </c>
      <c r="F906" s="13">
        <f>F907</f>
        <v>481867.05</v>
      </c>
      <c r="G906" s="13">
        <f>G907</f>
        <v>481867.05</v>
      </c>
      <c r="I906" s="13">
        <v>488400</v>
      </c>
      <c r="J906" s="13">
        <v>488400</v>
      </c>
      <c r="L906" s="69">
        <f t="shared" si="24"/>
        <v>-6532.950000000012</v>
      </c>
      <c r="M906" s="69">
        <f t="shared" si="25"/>
        <v>-6532.950000000012</v>
      </c>
    </row>
    <row r="907" spans="1:13" ht="31.5" outlineLevel="6">
      <c r="A907" s="19" t="s">
        <v>692</v>
      </c>
      <c r="B907" s="20" t="s">
        <v>187</v>
      </c>
      <c r="C907" s="20" t="s">
        <v>14</v>
      </c>
      <c r="D907" s="20" t="s">
        <v>385</v>
      </c>
      <c r="E907" s="20" t="s">
        <v>70</v>
      </c>
      <c r="F907" s="13">
        <f>'Приложение_7 '!G1077</f>
        <v>481867.05</v>
      </c>
      <c r="G907" s="13">
        <f>F907</f>
        <v>481867.05</v>
      </c>
      <c r="I907" s="13">
        <v>488400</v>
      </c>
      <c r="J907" s="13">
        <v>488400</v>
      </c>
      <c r="L907" s="69">
        <f t="shared" si="24"/>
        <v>-6532.950000000012</v>
      </c>
      <c r="M907" s="69">
        <f t="shared" si="25"/>
        <v>-6532.950000000012</v>
      </c>
    </row>
    <row r="908" spans="1:13" ht="31.5" outlineLevel="3">
      <c r="A908" s="42" t="s">
        <v>646</v>
      </c>
      <c r="B908" s="43" t="s">
        <v>187</v>
      </c>
      <c r="C908" s="43" t="s">
        <v>14</v>
      </c>
      <c r="D908" s="43" t="s">
        <v>343</v>
      </c>
      <c r="E908" s="43" t="s">
        <v>1</v>
      </c>
      <c r="F908" s="12">
        <f>F909</f>
        <v>128760.95</v>
      </c>
      <c r="G908" s="12">
        <f>G909</f>
        <v>128760.95</v>
      </c>
      <c r="I908" s="12">
        <v>122228</v>
      </c>
      <c r="J908" s="12">
        <v>122228</v>
      </c>
      <c r="L908" s="69">
        <f t="shared" si="24"/>
        <v>6532.949999999997</v>
      </c>
      <c r="M908" s="69">
        <f t="shared" si="25"/>
        <v>6532.949999999997</v>
      </c>
    </row>
    <row r="909" spans="1:13" ht="15.75" outlineLevel="4">
      <c r="A909" s="19" t="s">
        <v>560</v>
      </c>
      <c r="B909" s="20" t="s">
        <v>187</v>
      </c>
      <c r="C909" s="20" t="s">
        <v>14</v>
      </c>
      <c r="D909" s="20" t="s">
        <v>348</v>
      </c>
      <c r="E909" s="20" t="s">
        <v>1</v>
      </c>
      <c r="F909" s="13">
        <f>F910+F912</f>
        <v>128760.95</v>
      </c>
      <c r="G909" s="13">
        <f>G910+G912</f>
        <v>128760.95</v>
      </c>
      <c r="I909" s="13">
        <v>122228</v>
      </c>
      <c r="J909" s="13">
        <v>122228</v>
      </c>
      <c r="L909" s="69">
        <f t="shared" si="24"/>
        <v>6532.949999999997</v>
      </c>
      <c r="M909" s="69">
        <f t="shared" si="25"/>
        <v>6532.949999999997</v>
      </c>
    </row>
    <row r="910" spans="1:13" ht="78.75" outlineLevel="5">
      <c r="A910" s="19" t="s">
        <v>473</v>
      </c>
      <c r="B910" s="20" t="s">
        <v>187</v>
      </c>
      <c r="C910" s="20" t="s">
        <v>14</v>
      </c>
      <c r="D910" s="20" t="s">
        <v>386</v>
      </c>
      <c r="E910" s="20" t="s">
        <v>1</v>
      </c>
      <c r="F910" s="13">
        <f>F911</f>
        <v>2228</v>
      </c>
      <c r="G910" s="13">
        <f>G911</f>
        <v>2228</v>
      </c>
      <c r="I910" s="13">
        <v>2228</v>
      </c>
      <c r="J910" s="13">
        <v>2228</v>
      </c>
      <c r="L910" s="69">
        <f t="shared" si="24"/>
        <v>0</v>
      </c>
      <c r="M910" s="69">
        <f t="shared" si="25"/>
        <v>0</v>
      </c>
    </row>
    <row r="911" spans="1:13" ht="31.5" outlineLevel="6">
      <c r="A911" s="19" t="s">
        <v>692</v>
      </c>
      <c r="B911" s="20" t="s">
        <v>187</v>
      </c>
      <c r="C911" s="20" t="s">
        <v>14</v>
      </c>
      <c r="D911" s="20" t="s">
        <v>386</v>
      </c>
      <c r="E911" s="20" t="s">
        <v>70</v>
      </c>
      <c r="F911" s="13">
        <f>'Приложение_7 '!G1081</f>
        <v>2228</v>
      </c>
      <c r="G911" s="13">
        <f>F911</f>
        <v>2228</v>
      </c>
      <c r="I911" s="13">
        <v>2228</v>
      </c>
      <c r="J911" s="13">
        <v>2228</v>
      </c>
      <c r="L911" s="69">
        <f t="shared" si="24"/>
        <v>0</v>
      </c>
      <c r="M911" s="69">
        <f t="shared" si="25"/>
        <v>0</v>
      </c>
    </row>
    <row r="912" spans="1:13" ht="78.75" outlineLevel="5">
      <c r="A912" s="19" t="s">
        <v>474</v>
      </c>
      <c r="B912" s="20" t="s">
        <v>187</v>
      </c>
      <c r="C912" s="20" t="s">
        <v>14</v>
      </c>
      <c r="D912" s="20" t="s">
        <v>387</v>
      </c>
      <c r="E912" s="20" t="s">
        <v>1</v>
      </c>
      <c r="F912" s="13">
        <f>F913</f>
        <v>126532.95</v>
      </c>
      <c r="G912" s="13">
        <f>G913</f>
        <v>126532.95</v>
      </c>
      <c r="I912" s="13">
        <v>120000</v>
      </c>
      <c r="J912" s="13">
        <v>120000</v>
      </c>
      <c r="L912" s="69">
        <f t="shared" si="24"/>
        <v>6532.949999999997</v>
      </c>
      <c r="M912" s="69">
        <f t="shared" si="25"/>
        <v>6532.949999999997</v>
      </c>
    </row>
    <row r="913" spans="1:13" ht="31.5" outlineLevel="6">
      <c r="A913" s="19" t="s">
        <v>692</v>
      </c>
      <c r="B913" s="20" t="s">
        <v>187</v>
      </c>
      <c r="C913" s="20" t="s">
        <v>14</v>
      </c>
      <c r="D913" s="20" t="s">
        <v>387</v>
      </c>
      <c r="E913" s="20" t="s">
        <v>70</v>
      </c>
      <c r="F913" s="13">
        <f>'Приложение_7 '!G1083</f>
        <v>126532.95</v>
      </c>
      <c r="G913" s="13">
        <f>F913</f>
        <v>126532.95</v>
      </c>
      <c r="I913" s="13">
        <v>120000</v>
      </c>
      <c r="J913" s="13">
        <v>120000</v>
      </c>
      <c r="L913" s="69">
        <f t="shared" si="24"/>
        <v>6532.949999999997</v>
      </c>
      <c r="M913" s="69">
        <f t="shared" si="25"/>
        <v>6532.949999999997</v>
      </c>
    </row>
    <row r="914" spans="1:13" s="68" customFormat="1" ht="27" customHeight="1" outlineLevel="1">
      <c r="A914" s="70" t="s">
        <v>684</v>
      </c>
      <c r="B914" s="71" t="s">
        <v>187</v>
      </c>
      <c r="C914" s="71" t="s">
        <v>22</v>
      </c>
      <c r="D914" s="71" t="s">
        <v>4</v>
      </c>
      <c r="E914" s="71" t="s">
        <v>1</v>
      </c>
      <c r="F914" s="72">
        <f>F915+F935</f>
        <v>58350400</v>
      </c>
      <c r="G914" s="72">
        <f>G915+G935</f>
        <v>58350400</v>
      </c>
      <c r="I914" s="72">
        <v>58350400</v>
      </c>
      <c r="J914" s="72">
        <v>58350400</v>
      </c>
      <c r="L914" s="69">
        <f t="shared" si="24"/>
        <v>0</v>
      </c>
      <c r="M914" s="69">
        <f t="shared" si="25"/>
        <v>0</v>
      </c>
    </row>
    <row r="915" spans="1:13" ht="31.5" outlineLevel="2">
      <c r="A915" s="42" t="s">
        <v>653</v>
      </c>
      <c r="B915" s="43" t="s">
        <v>187</v>
      </c>
      <c r="C915" s="43" t="s">
        <v>22</v>
      </c>
      <c r="D915" s="43" t="s">
        <v>23</v>
      </c>
      <c r="E915" s="43" t="s">
        <v>1</v>
      </c>
      <c r="F915" s="12">
        <f>F916+F924</f>
        <v>56883700</v>
      </c>
      <c r="G915" s="12">
        <f>G916+G924</f>
        <v>56883700</v>
      </c>
      <c r="I915" s="12">
        <v>56883700</v>
      </c>
      <c r="J915" s="12">
        <v>56883700</v>
      </c>
      <c r="L915" s="69">
        <f t="shared" si="24"/>
        <v>0</v>
      </c>
      <c r="M915" s="69">
        <f t="shared" si="25"/>
        <v>0</v>
      </c>
    </row>
    <row r="916" spans="1:13" ht="31.5" outlineLevel="3">
      <c r="A916" s="42" t="s">
        <v>636</v>
      </c>
      <c r="B916" s="43" t="s">
        <v>187</v>
      </c>
      <c r="C916" s="43" t="s">
        <v>22</v>
      </c>
      <c r="D916" s="43" t="s">
        <v>240</v>
      </c>
      <c r="E916" s="43" t="s">
        <v>1</v>
      </c>
      <c r="F916" s="12">
        <f>F917+F921</f>
        <v>17444400</v>
      </c>
      <c r="G916" s="12">
        <f>G917+G921</f>
        <v>17444400</v>
      </c>
      <c r="I916" s="12">
        <v>17444400</v>
      </c>
      <c r="J916" s="12">
        <v>17444400</v>
      </c>
      <c r="L916" s="69">
        <f t="shared" si="24"/>
        <v>0</v>
      </c>
      <c r="M916" s="69">
        <f t="shared" si="25"/>
        <v>0</v>
      </c>
    </row>
    <row r="917" spans="1:13" ht="78.75" outlineLevel="4">
      <c r="A917" s="19" t="s">
        <v>960</v>
      </c>
      <c r="B917" s="20" t="s">
        <v>187</v>
      </c>
      <c r="C917" s="20" t="s">
        <v>22</v>
      </c>
      <c r="D917" s="20" t="s">
        <v>388</v>
      </c>
      <c r="E917" s="20" t="s">
        <v>1</v>
      </c>
      <c r="F917" s="13">
        <f>F918</f>
        <v>425500</v>
      </c>
      <c r="G917" s="13">
        <f>G918</f>
        <v>425500</v>
      </c>
      <c r="I917" s="13">
        <v>425500</v>
      </c>
      <c r="J917" s="13">
        <v>425500</v>
      </c>
      <c r="L917" s="69">
        <f aca="true" t="shared" si="26" ref="L917:L971">F917-I917</f>
        <v>0</v>
      </c>
      <c r="M917" s="69">
        <f aca="true" t="shared" si="27" ref="M917:M971">G917-J917</f>
        <v>0</v>
      </c>
    </row>
    <row r="918" spans="1:13" ht="126" outlineLevel="5">
      <c r="A918" s="19" t="s">
        <v>479</v>
      </c>
      <c r="B918" s="20" t="s">
        <v>187</v>
      </c>
      <c r="C918" s="20" t="s">
        <v>22</v>
      </c>
      <c r="D918" s="20" t="s">
        <v>389</v>
      </c>
      <c r="E918" s="20" t="s">
        <v>1</v>
      </c>
      <c r="F918" s="13">
        <f>F919+F920</f>
        <v>425500</v>
      </c>
      <c r="G918" s="13">
        <f>G919+G920</f>
        <v>425500</v>
      </c>
      <c r="I918" s="13">
        <v>425500</v>
      </c>
      <c r="J918" s="13">
        <v>425500</v>
      </c>
      <c r="L918" s="69">
        <f t="shared" si="26"/>
        <v>0</v>
      </c>
      <c r="M918" s="69">
        <f t="shared" si="27"/>
        <v>0</v>
      </c>
    </row>
    <row r="919" spans="1:13" ht="31.5" outlineLevel="6">
      <c r="A919" s="19" t="s">
        <v>689</v>
      </c>
      <c r="B919" s="20" t="s">
        <v>187</v>
      </c>
      <c r="C919" s="20" t="s">
        <v>22</v>
      </c>
      <c r="D919" s="20" t="s">
        <v>389</v>
      </c>
      <c r="E919" s="20" t="s">
        <v>17</v>
      </c>
      <c r="F919" s="13">
        <f>'Приложение_7 '!G890</f>
        <v>170216.5</v>
      </c>
      <c r="G919" s="13">
        <f>F919</f>
        <v>170216.5</v>
      </c>
      <c r="I919" s="13">
        <v>170216.5</v>
      </c>
      <c r="J919" s="13">
        <v>170216.5</v>
      </c>
      <c r="L919" s="69">
        <f t="shared" si="26"/>
        <v>0</v>
      </c>
      <c r="M919" s="69">
        <f t="shared" si="27"/>
        <v>0</v>
      </c>
    </row>
    <row r="920" spans="1:13" ht="31.5" outlineLevel="6">
      <c r="A920" s="19" t="s">
        <v>692</v>
      </c>
      <c r="B920" s="20" t="s">
        <v>187</v>
      </c>
      <c r="C920" s="20" t="s">
        <v>22</v>
      </c>
      <c r="D920" s="20" t="s">
        <v>389</v>
      </c>
      <c r="E920" s="20" t="s">
        <v>70</v>
      </c>
      <c r="F920" s="13">
        <f>'Приложение_7 '!G891</f>
        <v>255283.5</v>
      </c>
      <c r="G920" s="13">
        <f>F920</f>
        <v>255283.5</v>
      </c>
      <c r="I920" s="13">
        <v>255283.5</v>
      </c>
      <c r="J920" s="13">
        <v>255283.5</v>
      </c>
      <c r="L920" s="69">
        <f t="shared" si="26"/>
        <v>0</v>
      </c>
      <c r="M920" s="69">
        <f t="shared" si="27"/>
        <v>0</v>
      </c>
    </row>
    <row r="921" spans="1:13" ht="63" outlineLevel="4">
      <c r="A921" s="19" t="s">
        <v>961</v>
      </c>
      <c r="B921" s="20" t="s">
        <v>187</v>
      </c>
      <c r="C921" s="20" t="s">
        <v>22</v>
      </c>
      <c r="D921" s="20" t="s">
        <v>390</v>
      </c>
      <c r="E921" s="20" t="s">
        <v>1</v>
      </c>
      <c r="F921" s="13">
        <f>F922</f>
        <v>17018900</v>
      </c>
      <c r="G921" s="13">
        <f>G922</f>
        <v>17018900</v>
      </c>
      <c r="I921" s="13">
        <v>17018900</v>
      </c>
      <c r="J921" s="13">
        <v>17018900</v>
      </c>
      <c r="L921" s="69">
        <f t="shared" si="26"/>
        <v>0</v>
      </c>
      <c r="M921" s="69">
        <f t="shared" si="27"/>
        <v>0</v>
      </c>
    </row>
    <row r="922" spans="1:13" ht="78.75" outlineLevel="5">
      <c r="A922" s="19" t="s">
        <v>480</v>
      </c>
      <c r="B922" s="20" t="s">
        <v>187</v>
      </c>
      <c r="C922" s="20" t="s">
        <v>22</v>
      </c>
      <c r="D922" s="20" t="s">
        <v>391</v>
      </c>
      <c r="E922" s="20" t="s">
        <v>1</v>
      </c>
      <c r="F922" s="13">
        <f>F923</f>
        <v>17018900</v>
      </c>
      <c r="G922" s="13">
        <f>G923</f>
        <v>17018900</v>
      </c>
      <c r="I922" s="13">
        <v>17018900</v>
      </c>
      <c r="J922" s="13">
        <v>17018900</v>
      </c>
      <c r="L922" s="69">
        <f t="shared" si="26"/>
        <v>0</v>
      </c>
      <c r="M922" s="69">
        <f t="shared" si="27"/>
        <v>0</v>
      </c>
    </row>
    <row r="923" spans="1:14" ht="31.5" outlineLevel="6">
      <c r="A923" s="19" t="s">
        <v>690</v>
      </c>
      <c r="B923" s="20" t="s">
        <v>187</v>
      </c>
      <c r="C923" s="20" t="s">
        <v>22</v>
      </c>
      <c r="D923" s="20" t="s">
        <v>391</v>
      </c>
      <c r="E923" s="20" t="s">
        <v>47</v>
      </c>
      <c r="F923" s="13">
        <f>'Приложение_7 '!G894</f>
        <v>17018900</v>
      </c>
      <c r="G923" s="13">
        <f>F923</f>
        <v>17018900</v>
      </c>
      <c r="I923" s="13">
        <v>17018900</v>
      </c>
      <c r="J923" s="13">
        <v>17018900</v>
      </c>
      <c r="L923" s="69">
        <f t="shared" si="26"/>
        <v>0</v>
      </c>
      <c r="M923" s="69">
        <f t="shared" si="27"/>
        <v>0</v>
      </c>
      <c r="N923" s="127"/>
    </row>
    <row r="924" spans="1:13" ht="47.25" outlineLevel="3">
      <c r="A924" s="42" t="s">
        <v>610</v>
      </c>
      <c r="B924" s="43" t="s">
        <v>187</v>
      </c>
      <c r="C924" s="43" t="s">
        <v>22</v>
      </c>
      <c r="D924" s="43" t="s">
        <v>24</v>
      </c>
      <c r="E924" s="43" t="s">
        <v>1</v>
      </c>
      <c r="F924" s="12">
        <f>F925+F929+F932</f>
        <v>39439300</v>
      </c>
      <c r="G924" s="12">
        <f>G925+G929+G932</f>
        <v>39439300</v>
      </c>
      <c r="I924" s="12">
        <v>39439300</v>
      </c>
      <c r="J924" s="12">
        <v>39439300</v>
      </c>
      <c r="L924" s="69">
        <f t="shared" si="26"/>
        <v>0</v>
      </c>
      <c r="M924" s="69">
        <f t="shared" si="27"/>
        <v>0</v>
      </c>
    </row>
    <row r="925" spans="1:14" ht="47.25" outlineLevel="4">
      <c r="A925" s="19" t="s">
        <v>600</v>
      </c>
      <c r="B925" s="20" t="s">
        <v>187</v>
      </c>
      <c r="C925" s="20" t="s">
        <v>22</v>
      </c>
      <c r="D925" s="20" t="s">
        <v>392</v>
      </c>
      <c r="E925" s="20" t="s">
        <v>1</v>
      </c>
      <c r="F925" s="13">
        <f>F926</f>
        <v>5286000</v>
      </c>
      <c r="G925" s="13">
        <f>G926</f>
        <v>5286000</v>
      </c>
      <c r="I925" s="13">
        <v>5286000</v>
      </c>
      <c r="J925" s="13">
        <v>5286000</v>
      </c>
      <c r="L925" s="69">
        <f t="shared" si="26"/>
        <v>0</v>
      </c>
      <c r="M925" s="69">
        <f t="shared" si="27"/>
        <v>0</v>
      </c>
      <c r="N925" s="127"/>
    </row>
    <row r="926" spans="1:13" ht="110.25" outlineLevel="5">
      <c r="A926" s="19" t="s">
        <v>481</v>
      </c>
      <c r="B926" s="20" t="s">
        <v>187</v>
      </c>
      <c r="C926" s="20" t="s">
        <v>22</v>
      </c>
      <c r="D926" s="20" t="s">
        <v>393</v>
      </c>
      <c r="E926" s="20" t="s">
        <v>1</v>
      </c>
      <c r="F926" s="13">
        <f>F927+F928</f>
        <v>5286000</v>
      </c>
      <c r="G926" s="13">
        <f>G927+G928</f>
        <v>5286000</v>
      </c>
      <c r="I926" s="13">
        <v>5286000</v>
      </c>
      <c r="J926" s="13">
        <v>5286000</v>
      </c>
      <c r="L926" s="69">
        <f t="shared" si="26"/>
        <v>0</v>
      </c>
      <c r="M926" s="69">
        <f t="shared" si="27"/>
        <v>0</v>
      </c>
    </row>
    <row r="927" spans="1:13" ht="78.75" outlineLevel="6">
      <c r="A927" s="19" t="s">
        <v>704</v>
      </c>
      <c r="B927" s="20" t="s">
        <v>187</v>
      </c>
      <c r="C927" s="20" t="s">
        <v>22</v>
      </c>
      <c r="D927" s="20" t="s">
        <v>393</v>
      </c>
      <c r="E927" s="20" t="s">
        <v>10</v>
      </c>
      <c r="F927" s="13">
        <f>'Приложение_7 '!G898</f>
        <v>3998157.5599999996</v>
      </c>
      <c r="G927" s="13">
        <f>F927</f>
        <v>3998157.5599999996</v>
      </c>
      <c r="I927" s="13">
        <v>3774682.59</v>
      </c>
      <c r="J927" s="13">
        <v>3774682.59</v>
      </c>
      <c r="L927" s="69">
        <f t="shared" si="26"/>
        <v>223474.96999999974</v>
      </c>
      <c r="M927" s="69">
        <f t="shared" si="27"/>
        <v>223474.96999999974</v>
      </c>
    </row>
    <row r="928" spans="1:13" ht="31.5" outlineLevel="6">
      <c r="A928" s="19" t="s">
        <v>689</v>
      </c>
      <c r="B928" s="20" t="s">
        <v>187</v>
      </c>
      <c r="C928" s="20" t="s">
        <v>22</v>
      </c>
      <c r="D928" s="20" t="s">
        <v>393</v>
      </c>
      <c r="E928" s="20" t="s">
        <v>17</v>
      </c>
      <c r="F928" s="13">
        <f>'Приложение_7 '!G899</f>
        <v>1287842.44</v>
      </c>
      <c r="G928" s="13">
        <f>F928</f>
        <v>1287842.44</v>
      </c>
      <c r="I928" s="13">
        <v>1511317.41</v>
      </c>
      <c r="J928" s="13">
        <v>1511317.41</v>
      </c>
      <c r="L928" s="69">
        <f t="shared" si="26"/>
        <v>-223474.96999999997</v>
      </c>
      <c r="M928" s="69">
        <f t="shared" si="27"/>
        <v>-223474.96999999997</v>
      </c>
    </row>
    <row r="929" spans="1:13" ht="63" outlineLevel="4">
      <c r="A929" s="19" t="s">
        <v>601</v>
      </c>
      <c r="B929" s="20" t="s">
        <v>187</v>
      </c>
      <c r="C929" s="20" t="s">
        <v>22</v>
      </c>
      <c r="D929" s="20" t="s">
        <v>394</v>
      </c>
      <c r="E929" s="20" t="s">
        <v>1</v>
      </c>
      <c r="F929" s="13">
        <f>F930</f>
        <v>756100</v>
      </c>
      <c r="G929" s="13">
        <f>G930</f>
        <v>756100</v>
      </c>
      <c r="I929" s="13">
        <v>756100</v>
      </c>
      <c r="J929" s="13">
        <v>756100</v>
      </c>
      <c r="L929" s="69">
        <f t="shared" si="26"/>
        <v>0</v>
      </c>
      <c r="M929" s="69">
        <f t="shared" si="27"/>
        <v>0</v>
      </c>
    </row>
    <row r="930" spans="1:13" ht="94.5" outlineLevel="5">
      <c r="A930" s="19" t="s">
        <v>482</v>
      </c>
      <c r="B930" s="20" t="s">
        <v>187</v>
      </c>
      <c r="C930" s="20" t="s">
        <v>22</v>
      </c>
      <c r="D930" s="20" t="s">
        <v>395</v>
      </c>
      <c r="E930" s="20" t="s">
        <v>1</v>
      </c>
      <c r="F930" s="13">
        <f>F931</f>
        <v>756100</v>
      </c>
      <c r="G930" s="13">
        <f>G931</f>
        <v>756100</v>
      </c>
      <c r="I930" s="13">
        <v>756100</v>
      </c>
      <c r="J930" s="13">
        <v>756100</v>
      </c>
      <c r="L930" s="69">
        <f t="shared" si="26"/>
        <v>0</v>
      </c>
      <c r="M930" s="69">
        <f t="shared" si="27"/>
        <v>0</v>
      </c>
    </row>
    <row r="931" spans="1:13" ht="31.5" outlineLevel="6">
      <c r="A931" s="19" t="s">
        <v>690</v>
      </c>
      <c r="B931" s="20" t="s">
        <v>187</v>
      </c>
      <c r="C931" s="20" t="s">
        <v>22</v>
      </c>
      <c r="D931" s="20" t="s">
        <v>395</v>
      </c>
      <c r="E931" s="20" t="s">
        <v>47</v>
      </c>
      <c r="F931" s="13">
        <f>'Приложение_7 '!G902</f>
        <v>756100</v>
      </c>
      <c r="G931" s="13">
        <f>F931</f>
        <v>756100</v>
      </c>
      <c r="I931" s="13">
        <v>756100</v>
      </c>
      <c r="J931" s="13">
        <v>756100</v>
      </c>
      <c r="L931" s="69">
        <f t="shared" si="26"/>
        <v>0</v>
      </c>
      <c r="M931" s="69">
        <f t="shared" si="27"/>
        <v>0</v>
      </c>
    </row>
    <row r="932" spans="1:13" ht="47.25" outlineLevel="4">
      <c r="A932" s="19" t="s">
        <v>602</v>
      </c>
      <c r="B932" s="20" t="s">
        <v>187</v>
      </c>
      <c r="C932" s="20" t="s">
        <v>22</v>
      </c>
      <c r="D932" s="20" t="s">
        <v>396</v>
      </c>
      <c r="E932" s="20" t="s">
        <v>1</v>
      </c>
      <c r="F932" s="13">
        <f>F933</f>
        <v>33397200</v>
      </c>
      <c r="G932" s="13">
        <f>G933</f>
        <v>33397200</v>
      </c>
      <c r="I932" s="13">
        <v>33397200</v>
      </c>
      <c r="J932" s="13">
        <v>33397200</v>
      </c>
      <c r="L932" s="69">
        <f t="shared" si="26"/>
        <v>0</v>
      </c>
      <c r="M932" s="69">
        <f t="shared" si="27"/>
        <v>0</v>
      </c>
    </row>
    <row r="933" spans="1:13" ht="63" outlineLevel="5">
      <c r="A933" s="19" t="s">
        <v>483</v>
      </c>
      <c r="B933" s="20" t="s">
        <v>187</v>
      </c>
      <c r="C933" s="20" t="s">
        <v>22</v>
      </c>
      <c r="D933" s="20" t="s">
        <v>397</v>
      </c>
      <c r="E933" s="20" t="s">
        <v>1</v>
      </c>
      <c r="F933" s="13">
        <f>F934</f>
        <v>33397200</v>
      </c>
      <c r="G933" s="13">
        <f>G934</f>
        <v>33397200</v>
      </c>
      <c r="I933" s="13">
        <v>33397200</v>
      </c>
      <c r="J933" s="13">
        <v>33397200</v>
      </c>
      <c r="L933" s="69">
        <f t="shared" si="26"/>
        <v>0</v>
      </c>
      <c r="M933" s="69">
        <f t="shared" si="27"/>
        <v>0</v>
      </c>
    </row>
    <row r="934" spans="1:13" ht="31.5" outlineLevel="6">
      <c r="A934" s="19" t="s">
        <v>690</v>
      </c>
      <c r="B934" s="20" t="s">
        <v>187</v>
      </c>
      <c r="C934" s="20" t="s">
        <v>22</v>
      </c>
      <c r="D934" s="20" t="s">
        <v>397</v>
      </c>
      <c r="E934" s="20" t="s">
        <v>47</v>
      </c>
      <c r="F934" s="13">
        <f>'Приложение_7 '!G905</f>
        <v>33397200</v>
      </c>
      <c r="G934" s="13">
        <f>F934</f>
        <v>33397200</v>
      </c>
      <c r="I934" s="13">
        <v>33397200</v>
      </c>
      <c r="J934" s="13">
        <v>33397200</v>
      </c>
      <c r="L934" s="69">
        <f t="shared" si="26"/>
        <v>0</v>
      </c>
      <c r="M934" s="69">
        <f t="shared" si="27"/>
        <v>0</v>
      </c>
    </row>
    <row r="935" spans="1:13" ht="47.25" outlineLevel="2">
      <c r="A935" s="42" t="s">
        <v>652</v>
      </c>
      <c r="B935" s="43" t="s">
        <v>187</v>
      </c>
      <c r="C935" s="43" t="s">
        <v>22</v>
      </c>
      <c r="D935" s="43" t="s">
        <v>6</v>
      </c>
      <c r="E935" s="43" t="s">
        <v>1</v>
      </c>
      <c r="F935" s="12">
        <f>F936</f>
        <v>1466700</v>
      </c>
      <c r="G935" s="12">
        <f>G936</f>
        <v>1466700</v>
      </c>
      <c r="I935" s="12">
        <v>1466700</v>
      </c>
      <c r="J935" s="12">
        <v>1466700</v>
      </c>
      <c r="L935" s="69">
        <f t="shared" si="26"/>
        <v>0</v>
      </c>
      <c r="M935" s="69">
        <f t="shared" si="27"/>
        <v>0</v>
      </c>
    </row>
    <row r="936" spans="1:13" ht="31.5" outlineLevel="3">
      <c r="A936" s="42" t="s">
        <v>612</v>
      </c>
      <c r="B936" s="43" t="s">
        <v>187</v>
      </c>
      <c r="C936" s="43" t="s">
        <v>22</v>
      </c>
      <c r="D936" s="43" t="s">
        <v>43</v>
      </c>
      <c r="E936" s="43" t="s">
        <v>1</v>
      </c>
      <c r="F936" s="12">
        <f>F937+F941</f>
        <v>1466700</v>
      </c>
      <c r="G936" s="12">
        <f>G937+G941</f>
        <v>1466700</v>
      </c>
      <c r="I936" s="12">
        <v>1466700</v>
      </c>
      <c r="J936" s="12">
        <v>1466700</v>
      </c>
      <c r="L936" s="69">
        <f t="shared" si="26"/>
        <v>0</v>
      </c>
      <c r="M936" s="69">
        <f t="shared" si="27"/>
        <v>0</v>
      </c>
    </row>
    <row r="937" spans="1:13" ht="47.25" outlineLevel="4">
      <c r="A937" s="19" t="s">
        <v>603</v>
      </c>
      <c r="B937" s="20" t="s">
        <v>187</v>
      </c>
      <c r="C937" s="20" t="s">
        <v>22</v>
      </c>
      <c r="D937" s="20" t="s">
        <v>398</v>
      </c>
      <c r="E937" s="20" t="s">
        <v>1</v>
      </c>
      <c r="F937" s="13">
        <f>F938</f>
        <v>1321500</v>
      </c>
      <c r="G937" s="13">
        <f>G938</f>
        <v>1321500</v>
      </c>
      <c r="I937" s="13">
        <v>1321500</v>
      </c>
      <c r="J937" s="13">
        <v>1321500</v>
      </c>
      <c r="L937" s="69">
        <f t="shared" si="26"/>
        <v>0</v>
      </c>
      <c r="M937" s="69">
        <f t="shared" si="27"/>
        <v>0</v>
      </c>
    </row>
    <row r="938" spans="1:13" ht="47.25" outlineLevel="5">
      <c r="A938" s="19" t="s">
        <v>484</v>
      </c>
      <c r="B938" s="20" t="s">
        <v>187</v>
      </c>
      <c r="C938" s="20" t="s">
        <v>22</v>
      </c>
      <c r="D938" s="20" t="s">
        <v>399</v>
      </c>
      <c r="E938" s="20" t="s">
        <v>1</v>
      </c>
      <c r="F938" s="13">
        <f>F939+F940</f>
        <v>1321500</v>
      </c>
      <c r="G938" s="13">
        <f>G939+G940</f>
        <v>1321500</v>
      </c>
      <c r="I938" s="13">
        <v>1321500</v>
      </c>
      <c r="J938" s="16">
        <v>1321500</v>
      </c>
      <c r="L938" s="69">
        <f t="shared" si="26"/>
        <v>0</v>
      </c>
      <c r="M938" s="69">
        <f t="shared" si="27"/>
        <v>0</v>
      </c>
    </row>
    <row r="939" spans="1:13" ht="78.75" outlineLevel="6">
      <c r="A939" s="19" t="s">
        <v>704</v>
      </c>
      <c r="B939" s="20" t="s">
        <v>187</v>
      </c>
      <c r="C939" s="20" t="s">
        <v>22</v>
      </c>
      <c r="D939" s="20" t="s">
        <v>399</v>
      </c>
      <c r="E939" s="20" t="s">
        <v>10</v>
      </c>
      <c r="F939" s="15">
        <f>'Приложение_7 '!G285</f>
        <v>1226435.65</v>
      </c>
      <c r="G939" s="18">
        <f>F939</f>
        <v>1226435.65</v>
      </c>
      <c r="I939" s="15">
        <v>1185628.17</v>
      </c>
      <c r="J939" s="18">
        <v>1185628.17</v>
      </c>
      <c r="L939" s="69">
        <f t="shared" si="26"/>
        <v>40807.47999999998</v>
      </c>
      <c r="M939" s="69">
        <f t="shared" si="27"/>
        <v>40807.47999999998</v>
      </c>
    </row>
    <row r="940" spans="1:13" ht="31.5" outlineLevel="6">
      <c r="A940" s="19" t="s">
        <v>689</v>
      </c>
      <c r="B940" s="20" t="s">
        <v>187</v>
      </c>
      <c r="C940" s="20" t="s">
        <v>22</v>
      </c>
      <c r="D940" s="20" t="s">
        <v>399</v>
      </c>
      <c r="E940" s="20" t="s">
        <v>17</v>
      </c>
      <c r="F940" s="15">
        <f>'Приложение_7 '!G286</f>
        <v>95064.34999999999</v>
      </c>
      <c r="G940" s="18">
        <f>F940</f>
        <v>95064.34999999999</v>
      </c>
      <c r="I940" s="15">
        <v>135871.83</v>
      </c>
      <c r="J940" s="18">
        <v>135871.83</v>
      </c>
      <c r="L940" s="69">
        <f t="shared" si="26"/>
        <v>-40807.479999999996</v>
      </c>
      <c r="M940" s="69">
        <f t="shared" si="27"/>
        <v>-40807.479999999996</v>
      </c>
    </row>
    <row r="941" spans="1:13" ht="110.25" outlineLevel="4">
      <c r="A941" s="19" t="s">
        <v>604</v>
      </c>
      <c r="B941" s="20" t="s">
        <v>187</v>
      </c>
      <c r="C941" s="20" t="s">
        <v>22</v>
      </c>
      <c r="D941" s="20" t="s">
        <v>400</v>
      </c>
      <c r="E941" s="20" t="s">
        <v>1</v>
      </c>
      <c r="F941" s="15">
        <f>F942</f>
        <v>145200</v>
      </c>
      <c r="G941" s="122">
        <f>G942</f>
        <v>145200</v>
      </c>
      <c r="I941" s="15">
        <v>145200</v>
      </c>
      <c r="J941" s="18">
        <v>145200</v>
      </c>
      <c r="L941" s="69">
        <f t="shared" si="26"/>
        <v>0</v>
      </c>
      <c r="M941" s="69">
        <f t="shared" si="27"/>
        <v>0</v>
      </c>
    </row>
    <row r="942" spans="1:13" ht="110.25" outlineLevel="5">
      <c r="A942" s="19" t="s">
        <v>485</v>
      </c>
      <c r="B942" s="20" t="s">
        <v>187</v>
      </c>
      <c r="C942" s="20" t="s">
        <v>22</v>
      </c>
      <c r="D942" s="20" t="s">
        <v>401</v>
      </c>
      <c r="E942" s="20" t="s">
        <v>1</v>
      </c>
      <c r="F942" s="15">
        <f>F943+F944</f>
        <v>145200</v>
      </c>
      <c r="G942" s="123">
        <f>G943+G944</f>
        <v>145200</v>
      </c>
      <c r="I942" s="15">
        <v>145200</v>
      </c>
      <c r="J942" s="18">
        <v>145200</v>
      </c>
      <c r="L942" s="69">
        <f t="shared" si="26"/>
        <v>0</v>
      </c>
      <c r="M942" s="69">
        <f t="shared" si="27"/>
        <v>0</v>
      </c>
    </row>
    <row r="943" spans="1:13" ht="78.75" outlineLevel="6">
      <c r="A943" s="19" t="s">
        <v>704</v>
      </c>
      <c r="B943" s="20" t="s">
        <v>187</v>
      </c>
      <c r="C943" s="20" t="s">
        <v>22</v>
      </c>
      <c r="D943" s="20" t="s">
        <v>401</v>
      </c>
      <c r="E943" s="20" t="s">
        <v>10</v>
      </c>
      <c r="F943" s="15">
        <f>'Приложение_7 '!G289</f>
        <v>128488.7</v>
      </c>
      <c r="G943" s="18">
        <f>F943</f>
        <v>128488.7</v>
      </c>
      <c r="I943" s="15">
        <v>128488.7</v>
      </c>
      <c r="J943" s="18">
        <v>128488.7</v>
      </c>
      <c r="L943" s="69">
        <f t="shared" si="26"/>
        <v>0</v>
      </c>
      <c r="M943" s="69">
        <f t="shared" si="27"/>
        <v>0</v>
      </c>
    </row>
    <row r="944" spans="1:13" ht="31.5" outlineLevel="6">
      <c r="A944" s="19" t="s">
        <v>689</v>
      </c>
      <c r="B944" s="20" t="s">
        <v>187</v>
      </c>
      <c r="C944" s="20" t="s">
        <v>22</v>
      </c>
      <c r="D944" s="20" t="s">
        <v>401</v>
      </c>
      <c r="E944" s="20" t="s">
        <v>17</v>
      </c>
      <c r="F944" s="15">
        <f>'Приложение_7 '!G290</f>
        <v>16711.3</v>
      </c>
      <c r="G944" s="18">
        <f>F944</f>
        <v>16711.3</v>
      </c>
      <c r="I944" s="15">
        <v>16711.3</v>
      </c>
      <c r="J944" s="18">
        <v>16711.3</v>
      </c>
      <c r="L944" s="69">
        <f t="shared" si="26"/>
        <v>0</v>
      </c>
      <c r="M944" s="69">
        <f t="shared" si="27"/>
        <v>0</v>
      </c>
    </row>
    <row r="945" spans="1:13" s="68" customFormat="1" ht="15.75">
      <c r="A945" s="42" t="s">
        <v>700</v>
      </c>
      <c r="B945" s="43" t="s">
        <v>63</v>
      </c>
      <c r="C945" s="43" t="s">
        <v>3</v>
      </c>
      <c r="D945" s="43" t="s">
        <v>4</v>
      </c>
      <c r="E945" s="43" t="s">
        <v>1</v>
      </c>
      <c r="F945" s="74">
        <f>F946</f>
        <v>1400050</v>
      </c>
      <c r="G945" s="75"/>
      <c r="I945" s="74">
        <v>1400050</v>
      </c>
      <c r="J945" s="75"/>
      <c r="L945" s="69">
        <f t="shared" si="26"/>
        <v>0</v>
      </c>
      <c r="M945" s="69">
        <f t="shared" si="27"/>
        <v>0</v>
      </c>
    </row>
    <row r="946" spans="1:13" s="68" customFormat="1" ht="31.5" outlineLevel="1">
      <c r="A946" s="42" t="s">
        <v>685</v>
      </c>
      <c r="B946" s="43" t="s">
        <v>63</v>
      </c>
      <c r="C946" s="43" t="s">
        <v>2</v>
      </c>
      <c r="D946" s="43" t="s">
        <v>4</v>
      </c>
      <c r="E946" s="43" t="s">
        <v>1</v>
      </c>
      <c r="F946" s="74">
        <f>F947</f>
        <v>1400050</v>
      </c>
      <c r="G946" s="75"/>
      <c r="I946" s="74">
        <v>1400050</v>
      </c>
      <c r="J946" s="75"/>
      <c r="L946" s="69">
        <f t="shared" si="26"/>
        <v>0</v>
      </c>
      <c r="M946" s="69">
        <f t="shared" si="27"/>
        <v>0</v>
      </c>
    </row>
    <row r="947" spans="1:13" ht="47.25" outlineLevel="2">
      <c r="A947" s="42" t="s">
        <v>658</v>
      </c>
      <c r="B947" s="43" t="s">
        <v>63</v>
      </c>
      <c r="C947" s="43" t="s">
        <v>2</v>
      </c>
      <c r="D947" s="43" t="s">
        <v>297</v>
      </c>
      <c r="E947" s="43" t="s">
        <v>1</v>
      </c>
      <c r="F947" s="74">
        <f>F948</f>
        <v>1400050</v>
      </c>
      <c r="G947" s="75"/>
      <c r="I947" s="74">
        <v>1400050</v>
      </c>
      <c r="J947" s="75"/>
      <c r="L947" s="69">
        <f t="shared" si="26"/>
        <v>0</v>
      </c>
      <c r="M947" s="69">
        <f t="shared" si="27"/>
        <v>0</v>
      </c>
    </row>
    <row r="948" spans="1:13" ht="31.5" outlineLevel="3">
      <c r="A948" s="42" t="s">
        <v>649</v>
      </c>
      <c r="B948" s="43" t="s">
        <v>63</v>
      </c>
      <c r="C948" s="43" t="s">
        <v>2</v>
      </c>
      <c r="D948" s="43" t="s">
        <v>402</v>
      </c>
      <c r="E948" s="43" t="s">
        <v>1</v>
      </c>
      <c r="F948" s="74">
        <f>F949+F953</f>
        <v>1400050</v>
      </c>
      <c r="G948" s="75"/>
      <c r="I948" s="74">
        <v>1400050</v>
      </c>
      <c r="J948" s="75"/>
      <c r="L948" s="69">
        <f t="shared" si="26"/>
        <v>0</v>
      </c>
      <c r="M948" s="69">
        <f t="shared" si="27"/>
        <v>0</v>
      </c>
    </row>
    <row r="949" spans="1:13" ht="47.25" outlineLevel="4">
      <c r="A949" s="19" t="s">
        <v>605</v>
      </c>
      <c r="B949" s="20" t="s">
        <v>63</v>
      </c>
      <c r="C949" s="20" t="s">
        <v>2</v>
      </c>
      <c r="D949" s="20" t="s">
        <v>403</v>
      </c>
      <c r="E949" s="20" t="s">
        <v>1</v>
      </c>
      <c r="F949" s="15">
        <f>F950</f>
        <v>835992.8</v>
      </c>
      <c r="G949" s="17"/>
      <c r="I949" s="15">
        <v>880050</v>
      </c>
      <c r="J949" s="17"/>
      <c r="L949" s="69">
        <f t="shared" si="26"/>
        <v>-44057.19999999995</v>
      </c>
      <c r="M949" s="69">
        <f t="shared" si="27"/>
        <v>0</v>
      </c>
    </row>
    <row r="950" spans="1:13" ht="31.5" outlineLevel="5">
      <c r="A950" s="19" t="s">
        <v>441</v>
      </c>
      <c r="B950" s="20" t="s">
        <v>63</v>
      </c>
      <c r="C950" s="20" t="s">
        <v>2</v>
      </c>
      <c r="D950" s="20" t="s">
        <v>404</v>
      </c>
      <c r="E950" s="20" t="s">
        <v>1</v>
      </c>
      <c r="F950" s="15">
        <f>F951+F952</f>
        <v>835992.8</v>
      </c>
      <c r="G950" s="17"/>
      <c r="I950" s="15">
        <v>880050</v>
      </c>
      <c r="J950" s="17"/>
      <c r="L950" s="69">
        <f t="shared" si="26"/>
        <v>-44057.19999999995</v>
      </c>
      <c r="M950" s="69">
        <f t="shared" si="27"/>
        <v>0</v>
      </c>
    </row>
    <row r="951" spans="1:13" ht="78.75" outlineLevel="6">
      <c r="A951" s="19" t="s">
        <v>704</v>
      </c>
      <c r="B951" s="20" t="s">
        <v>63</v>
      </c>
      <c r="C951" s="20" t="s">
        <v>2</v>
      </c>
      <c r="D951" s="20" t="s">
        <v>404</v>
      </c>
      <c r="E951" s="20" t="s">
        <v>10</v>
      </c>
      <c r="F951" s="15">
        <f>'Приложение_7 '!G1090</f>
        <v>202942.8</v>
      </c>
      <c r="G951" s="17"/>
      <c r="I951" s="15">
        <v>300000</v>
      </c>
      <c r="J951" s="17"/>
      <c r="L951" s="69">
        <f t="shared" si="26"/>
        <v>-97057.20000000001</v>
      </c>
      <c r="M951" s="69">
        <f t="shared" si="27"/>
        <v>0</v>
      </c>
    </row>
    <row r="952" spans="1:13" ht="31.5" outlineLevel="6">
      <c r="A952" s="19" t="s">
        <v>689</v>
      </c>
      <c r="B952" s="20" t="s">
        <v>63</v>
      </c>
      <c r="C952" s="20" t="s">
        <v>2</v>
      </c>
      <c r="D952" s="20" t="s">
        <v>404</v>
      </c>
      <c r="E952" s="20" t="s">
        <v>17</v>
      </c>
      <c r="F952" s="15">
        <f>'Приложение_7 '!G1091</f>
        <v>633050</v>
      </c>
      <c r="G952" s="17"/>
      <c r="I952" s="15">
        <v>580050</v>
      </c>
      <c r="J952" s="17"/>
      <c r="L952" s="69">
        <f t="shared" si="26"/>
        <v>53000</v>
      </c>
      <c r="M952" s="69">
        <f t="shared" si="27"/>
        <v>0</v>
      </c>
    </row>
    <row r="953" spans="1:13" ht="63" outlineLevel="4">
      <c r="A953" s="19" t="s">
        <v>606</v>
      </c>
      <c r="B953" s="20" t="s">
        <v>63</v>
      </c>
      <c r="C953" s="20" t="s">
        <v>2</v>
      </c>
      <c r="D953" s="20" t="s">
        <v>405</v>
      </c>
      <c r="E953" s="20" t="s">
        <v>1</v>
      </c>
      <c r="F953" s="15">
        <f>F954</f>
        <v>564057.2</v>
      </c>
      <c r="G953" s="17"/>
      <c r="I953" s="15">
        <v>520000</v>
      </c>
      <c r="J953" s="17"/>
      <c r="L953" s="69">
        <f t="shared" si="26"/>
        <v>44057.19999999995</v>
      </c>
      <c r="M953" s="69">
        <f t="shared" si="27"/>
        <v>0</v>
      </c>
    </row>
    <row r="954" spans="1:13" ht="31.5" outlineLevel="5">
      <c r="A954" s="19" t="s">
        <v>441</v>
      </c>
      <c r="B954" s="20" t="s">
        <v>63</v>
      </c>
      <c r="C954" s="20" t="s">
        <v>2</v>
      </c>
      <c r="D954" s="20" t="s">
        <v>406</v>
      </c>
      <c r="E954" s="20" t="s">
        <v>1</v>
      </c>
      <c r="F954" s="15">
        <f>F955+F956</f>
        <v>564057.2</v>
      </c>
      <c r="G954" s="17"/>
      <c r="I954" s="15">
        <v>520000</v>
      </c>
      <c r="J954" s="17"/>
      <c r="L954" s="69">
        <f t="shared" si="26"/>
        <v>44057.19999999995</v>
      </c>
      <c r="M954" s="69">
        <f t="shared" si="27"/>
        <v>0</v>
      </c>
    </row>
    <row r="955" spans="1:13" ht="78.75" outlineLevel="6">
      <c r="A955" s="19" t="s">
        <v>704</v>
      </c>
      <c r="B955" s="20" t="s">
        <v>63</v>
      </c>
      <c r="C955" s="20" t="s">
        <v>2</v>
      </c>
      <c r="D955" s="20" t="s">
        <v>406</v>
      </c>
      <c r="E955" s="20" t="s">
        <v>10</v>
      </c>
      <c r="F955" s="15">
        <f>'Приложение_7 '!G1094</f>
        <v>292104</v>
      </c>
      <c r="G955" s="17"/>
      <c r="I955" s="15">
        <v>240000</v>
      </c>
      <c r="J955" s="17"/>
      <c r="L955" s="69">
        <f t="shared" si="26"/>
        <v>52104</v>
      </c>
      <c r="M955" s="69">
        <f t="shared" si="27"/>
        <v>0</v>
      </c>
    </row>
    <row r="956" spans="1:13" ht="31.5" outlineLevel="6">
      <c r="A956" s="19" t="s">
        <v>689</v>
      </c>
      <c r="B956" s="20" t="s">
        <v>63</v>
      </c>
      <c r="C956" s="20" t="s">
        <v>2</v>
      </c>
      <c r="D956" s="20" t="s">
        <v>406</v>
      </c>
      <c r="E956" s="20" t="s">
        <v>17</v>
      </c>
      <c r="F956" s="15">
        <f>'Приложение_7 '!G1095</f>
        <v>271953.2</v>
      </c>
      <c r="G956" s="17"/>
      <c r="I956" s="15">
        <v>280000</v>
      </c>
      <c r="J956" s="17"/>
      <c r="L956" s="69">
        <f t="shared" si="26"/>
        <v>-8046.799999999988</v>
      </c>
      <c r="M956" s="69">
        <f t="shared" si="27"/>
        <v>0</v>
      </c>
    </row>
    <row r="957" spans="1:13" s="68" customFormat="1" ht="15.75">
      <c r="A957" s="42" t="s">
        <v>701</v>
      </c>
      <c r="B957" s="43" t="s">
        <v>192</v>
      </c>
      <c r="C957" s="43" t="s">
        <v>3</v>
      </c>
      <c r="D957" s="43" t="s">
        <v>4</v>
      </c>
      <c r="E957" s="43" t="s">
        <v>1</v>
      </c>
      <c r="F957" s="74">
        <f aca="true" t="shared" si="28" ref="F957:F962">F958</f>
        <v>419025.5</v>
      </c>
      <c r="G957" s="75"/>
      <c r="I957" s="74">
        <v>1425000</v>
      </c>
      <c r="J957" s="75"/>
      <c r="L957" s="69">
        <f t="shared" si="26"/>
        <v>-1005974.5</v>
      </c>
      <c r="M957" s="69">
        <f t="shared" si="27"/>
        <v>0</v>
      </c>
    </row>
    <row r="958" spans="1:13" s="68" customFormat="1" ht="23.25" customHeight="1" outlineLevel="1">
      <c r="A958" s="42" t="s">
        <v>686</v>
      </c>
      <c r="B958" s="43" t="s">
        <v>192</v>
      </c>
      <c r="C958" s="43" t="s">
        <v>5</v>
      </c>
      <c r="D958" s="43" t="s">
        <v>4</v>
      </c>
      <c r="E958" s="43" t="s">
        <v>1</v>
      </c>
      <c r="F958" s="74">
        <f t="shared" si="28"/>
        <v>419025.5</v>
      </c>
      <c r="G958" s="75"/>
      <c r="I958" s="74">
        <v>1425000</v>
      </c>
      <c r="J958" s="75"/>
      <c r="L958" s="69">
        <f t="shared" si="26"/>
        <v>-1005974.5</v>
      </c>
      <c r="M958" s="69">
        <f t="shared" si="27"/>
        <v>0</v>
      </c>
    </row>
    <row r="959" spans="1:13" ht="31.5" outlineLevel="2">
      <c r="A959" s="42" t="s">
        <v>655</v>
      </c>
      <c r="B959" s="43" t="s">
        <v>192</v>
      </c>
      <c r="C959" s="43" t="s">
        <v>5</v>
      </c>
      <c r="D959" s="43" t="s">
        <v>90</v>
      </c>
      <c r="E959" s="43" t="s">
        <v>1</v>
      </c>
      <c r="F959" s="74">
        <f t="shared" si="28"/>
        <v>419025.5</v>
      </c>
      <c r="G959" s="75"/>
      <c r="I959" s="74">
        <v>1425000</v>
      </c>
      <c r="J959" s="75"/>
      <c r="L959" s="69">
        <f t="shared" si="26"/>
        <v>-1005974.5</v>
      </c>
      <c r="M959" s="69">
        <f t="shared" si="27"/>
        <v>0</v>
      </c>
    </row>
    <row r="960" spans="1:13" ht="78.75" outlineLevel="3">
      <c r="A960" s="42" t="s">
        <v>650</v>
      </c>
      <c r="B960" s="43" t="s">
        <v>192</v>
      </c>
      <c r="C960" s="43" t="s">
        <v>5</v>
      </c>
      <c r="D960" s="43" t="s">
        <v>407</v>
      </c>
      <c r="E960" s="43" t="s">
        <v>1</v>
      </c>
      <c r="F960" s="74">
        <f t="shared" si="28"/>
        <v>419025.5</v>
      </c>
      <c r="G960" s="75"/>
      <c r="I960" s="74">
        <v>1425000</v>
      </c>
      <c r="J960" s="75"/>
      <c r="L960" s="69">
        <f t="shared" si="26"/>
        <v>-1005974.5</v>
      </c>
      <c r="M960" s="69">
        <f t="shared" si="27"/>
        <v>0</v>
      </c>
    </row>
    <row r="961" spans="1:13" ht="63" outlineLevel="4">
      <c r="A961" s="19" t="s">
        <v>607</v>
      </c>
      <c r="B961" s="20" t="s">
        <v>192</v>
      </c>
      <c r="C961" s="20" t="s">
        <v>5</v>
      </c>
      <c r="D961" s="20" t="s">
        <v>408</v>
      </c>
      <c r="E961" s="20" t="s">
        <v>1</v>
      </c>
      <c r="F961" s="15">
        <f t="shared" si="28"/>
        <v>419025.5</v>
      </c>
      <c r="G961" s="17"/>
      <c r="I961" s="15">
        <v>1425000</v>
      </c>
      <c r="J961" s="17"/>
      <c r="L961" s="69">
        <f t="shared" si="26"/>
        <v>-1005974.5</v>
      </c>
      <c r="M961" s="69">
        <f t="shared" si="27"/>
        <v>0</v>
      </c>
    </row>
    <row r="962" spans="1:13" ht="31.5" outlineLevel="5">
      <c r="A962" s="19" t="s">
        <v>441</v>
      </c>
      <c r="B962" s="20" t="s">
        <v>192</v>
      </c>
      <c r="C962" s="20" t="s">
        <v>5</v>
      </c>
      <c r="D962" s="20" t="s">
        <v>409</v>
      </c>
      <c r="E962" s="20" t="s">
        <v>1</v>
      </c>
      <c r="F962" s="15">
        <f t="shared" si="28"/>
        <v>419025.5</v>
      </c>
      <c r="G962" s="17"/>
      <c r="I962" s="15">
        <v>1425000</v>
      </c>
      <c r="J962" s="17"/>
      <c r="L962" s="69">
        <f t="shared" si="26"/>
        <v>-1005974.5</v>
      </c>
      <c r="M962" s="69">
        <f t="shared" si="27"/>
        <v>0</v>
      </c>
    </row>
    <row r="963" spans="1:13" ht="31.5" outlineLevel="6">
      <c r="A963" s="19" t="s">
        <v>689</v>
      </c>
      <c r="B963" s="20" t="s">
        <v>192</v>
      </c>
      <c r="C963" s="20" t="s">
        <v>5</v>
      </c>
      <c r="D963" s="20" t="s">
        <v>409</v>
      </c>
      <c r="E963" s="20" t="s">
        <v>17</v>
      </c>
      <c r="F963" s="15">
        <f>'Приложение_7 '!G297</f>
        <v>419025.5</v>
      </c>
      <c r="G963" s="17"/>
      <c r="I963" s="15">
        <v>1425000</v>
      </c>
      <c r="J963" s="17"/>
      <c r="L963" s="69">
        <f t="shared" si="26"/>
        <v>-1005974.5</v>
      </c>
      <c r="M963" s="69">
        <f t="shared" si="27"/>
        <v>0</v>
      </c>
    </row>
    <row r="964" spans="1:13" ht="31.5">
      <c r="A964" s="42" t="s">
        <v>702</v>
      </c>
      <c r="B964" s="43" t="s">
        <v>66</v>
      </c>
      <c r="C964" s="43" t="s">
        <v>3</v>
      </c>
      <c r="D964" s="43" t="s">
        <v>4</v>
      </c>
      <c r="E964" s="43" t="s">
        <v>1</v>
      </c>
      <c r="F964" s="74">
        <f aca="true" t="shared" si="29" ref="F964:F969">F965</f>
        <v>11801646.99</v>
      </c>
      <c r="G964" s="75"/>
      <c r="I964" s="74">
        <v>11801646.99</v>
      </c>
      <c r="J964" s="75"/>
      <c r="L964" s="69">
        <f t="shared" si="26"/>
        <v>0</v>
      </c>
      <c r="M964" s="69">
        <f t="shared" si="27"/>
        <v>0</v>
      </c>
    </row>
    <row r="965" spans="1:13" ht="31.5" outlineLevel="1">
      <c r="A965" s="42" t="s">
        <v>687</v>
      </c>
      <c r="B965" s="43" t="s">
        <v>66</v>
      </c>
      <c r="C965" s="43" t="s">
        <v>2</v>
      </c>
      <c r="D965" s="43" t="s">
        <v>4</v>
      </c>
      <c r="E965" s="43" t="s">
        <v>1</v>
      </c>
      <c r="F965" s="74">
        <f t="shared" si="29"/>
        <v>11801646.99</v>
      </c>
      <c r="G965" s="75"/>
      <c r="I965" s="74">
        <v>11801646.99</v>
      </c>
      <c r="J965" s="75"/>
      <c r="L965" s="69">
        <f t="shared" si="26"/>
        <v>0</v>
      </c>
      <c r="M965" s="69">
        <f t="shared" si="27"/>
        <v>0</v>
      </c>
    </row>
    <row r="966" spans="1:13" ht="63" outlineLevel="2">
      <c r="A966" s="42" t="s">
        <v>486</v>
      </c>
      <c r="B966" s="43" t="s">
        <v>66</v>
      </c>
      <c r="C966" s="43" t="s">
        <v>2</v>
      </c>
      <c r="D966" s="43" t="s">
        <v>38</v>
      </c>
      <c r="E966" s="43" t="s">
        <v>1</v>
      </c>
      <c r="F966" s="74">
        <f t="shared" si="29"/>
        <v>11801646.99</v>
      </c>
      <c r="G966" s="75"/>
      <c r="I966" s="74">
        <v>11801646.99</v>
      </c>
      <c r="J966" s="75"/>
      <c r="L966" s="69">
        <f t="shared" si="26"/>
        <v>0</v>
      </c>
      <c r="M966" s="69">
        <f t="shared" si="27"/>
        <v>0</v>
      </c>
    </row>
    <row r="967" spans="1:13" ht="31.5" outlineLevel="3">
      <c r="A967" s="42" t="s">
        <v>651</v>
      </c>
      <c r="B967" s="43" t="s">
        <v>66</v>
      </c>
      <c r="C967" s="43" t="s">
        <v>2</v>
      </c>
      <c r="D967" s="43" t="s">
        <v>410</v>
      </c>
      <c r="E967" s="43" t="s">
        <v>1</v>
      </c>
      <c r="F967" s="74">
        <f t="shared" si="29"/>
        <v>11801646.99</v>
      </c>
      <c r="G967" s="75"/>
      <c r="I967" s="74">
        <v>11801646.99</v>
      </c>
      <c r="J967" s="75"/>
      <c r="L967" s="69">
        <f t="shared" si="26"/>
        <v>0</v>
      </c>
      <c r="M967" s="69">
        <f t="shared" si="27"/>
        <v>0</v>
      </c>
    </row>
    <row r="968" spans="1:13" ht="47.25" outlineLevel="4">
      <c r="A968" s="19" t="s">
        <v>608</v>
      </c>
      <c r="B968" s="20" t="s">
        <v>66</v>
      </c>
      <c r="C968" s="20" t="s">
        <v>2</v>
      </c>
      <c r="D968" s="20" t="s">
        <v>411</v>
      </c>
      <c r="E968" s="20" t="s">
        <v>1</v>
      </c>
      <c r="F968" s="15">
        <f t="shared" si="29"/>
        <v>11801646.99</v>
      </c>
      <c r="G968" s="17"/>
      <c r="I968" s="15">
        <v>11801646.99</v>
      </c>
      <c r="J968" s="17"/>
      <c r="L968" s="69">
        <f t="shared" si="26"/>
        <v>0</v>
      </c>
      <c r="M968" s="69">
        <f t="shared" si="27"/>
        <v>0</v>
      </c>
    </row>
    <row r="969" spans="1:13" ht="15.75" outlineLevel="5">
      <c r="A969" s="19" t="s">
        <v>429</v>
      </c>
      <c r="B969" s="20" t="s">
        <v>66</v>
      </c>
      <c r="C969" s="20" t="s">
        <v>2</v>
      </c>
      <c r="D969" s="20" t="s">
        <v>412</v>
      </c>
      <c r="E969" s="20" t="s">
        <v>1</v>
      </c>
      <c r="F969" s="15">
        <f t="shared" si="29"/>
        <v>11801646.99</v>
      </c>
      <c r="G969" s="17"/>
      <c r="I969" s="15">
        <v>11801646.99</v>
      </c>
      <c r="J969" s="17"/>
      <c r="L969" s="69">
        <f t="shared" si="26"/>
        <v>0</v>
      </c>
      <c r="M969" s="69">
        <f t="shared" si="27"/>
        <v>0</v>
      </c>
    </row>
    <row r="970" spans="1:13" ht="31.5" outlineLevel="6">
      <c r="A970" s="19" t="s">
        <v>703</v>
      </c>
      <c r="B970" s="20" t="s">
        <v>66</v>
      </c>
      <c r="C970" s="20" t="s">
        <v>2</v>
      </c>
      <c r="D970" s="20" t="s">
        <v>412</v>
      </c>
      <c r="E970" s="20" t="s">
        <v>413</v>
      </c>
      <c r="F970" s="15">
        <f>'Приложение_7 '!G640</f>
        <v>11801646.99</v>
      </c>
      <c r="G970" s="17"/>
      <c r="I970" s="15">
        <v>11801646.99</v>
      </c>
      <c r="J970" s="17"/>
      <c r="L970" s="69">
        <f t="shared" si="26"/>
        <v>0</v>
      </c>
      <c r="M970" s="69">
        <f t="shared" si="27"/>
        <v>0</v>
      </c>
    </row>
    <row r="971" spans="1:13" ht="22.5" customHeight="1">
      <c r="A971" s="194" t="s">
        <v>414</v>
      </c>
      <c r="B971" s="195"/>
      <c r="C971" s="195"/>
      <c r="D971" s="195"/>
      <c r="E971" s="3"/>
      <c r="F971" s="3">
        <f>F11+F303+F342+F455+F564+F790+F870+F945+F957+F964+F558</f>
        <v>2324114390.8899994</v>
      </c>
      <c r="G971" s="3">
        <f>G11+G303+G342+G455+G564+G790+G870+G945+G957+G964+G558</f>
        <v>855338484.55</v>
      </c>
      <c r="H971" s="127"/>
      <c r="I971" s="3">
        <v>2220551930.88</v>
      </c>
      <c r="J971" s="3">
        <f>J870+J790+J564+J342+J303+J11</f>
        <v>805103202.53</v>
      </c>
      <c r="L971" s="69">
        <f t="shared" si="26"/>
        <v>103562460.00999928</v>
      </c>
      <c r="M971" s="69">
        <f t="shared" si="27"/>
        <v>50235282.01999998</v>
      </c>
    </row>
    <row r="972" spans="1:9" ht="12.75" customHeight="1">
      <c r="A972" s="14"/>
      <c r="B972" s="14"/>
      <c r="C972" s="14"/>
      <c r="D972" s="14"/>
      <c r="E972" s="14"/>
      <c r="F972" s="14"/>
      <c r="I972" s="14"/>
    </row>
    <row r="973" spans="1:10" ht="15" customHeight="1" hidden="1">
      <c r="A973" s="192"/>
      <c r="B973" s="193"/>
      <c r="C973" s="193"/>
      <c r="D973" s="193"/>
      <c r="E973" s="193"/>
      <c r="F973" s="193"/>
      <c r="G973" s="193"/>
      <c r="I973" s="21"/>
      <c r="J973" s="21"/>
    </row>
    <row r="974" spans="6:7" ht="15.75" hidden="1">
      <c r="F974" s="57">
        <f>'Приложение_7 '!G1126</f>
        <v>2324114390.8900003</v>
      </c>
      <c r="G974" s="57">
        <f>'Приложение_7 '!H1126</f>
        <v>855338484.55</v>
      </c>
    </row>
    <row r="975" spans="6:7" ht="15.75" hidden="1">
      <c r="F975" s="57">
        <f>F971-F974</f>
        <v>0</v>
      </c>
      <c r="G975" s="57">
        <f>G971-G974</f>
        <v>0</v>
      </c>
    </row>
    <row r="976" spans="6:9" ht="15.75" hidden="1">
      <c r="F976" s="57"/>
      <c r="I976" s="57"/>
    </row>
    <row r="977" ht="15.75" hidden="1">
      <c r="F977" s="57">
        <f>'Приложение_7 '!G1126</f>
        <v>2324114390.8900003</v>
      </c>
    </row>
    <row r="978" ht="15.75" hidden="1">
      <c r="F978" s="57">
        <f>F971-F977</f>
        <v>0</v>
      </c>
    </row>
    <row r="979" spans="6:7" ht="15.75">
      <c r="F979" s="57">
        <f>'Приложение_7 '!G1126</f>
        <v>2324114390.8900003</v>
      </c>
      <c r="G979" s="57">
        <f>'Приложение_7 '!H1126</f>
        <v>855338484.55</v>
      </c>
    </row>
    <row r="980" spans="6:7" ht="15.75">
      <c r="F980" s="57">
        <f>F971-F979</f>
        <v>0</v>
      </c>
      <c r="G980" s="57">
        <f>G971-G979</f>
        <v>0</v>
      </c>
    </row>
    <row r="981" spans="6:7" ht="15.75">
      <c r="F981" s="57"/>
      <c r="G981" s="57"/>
    </row>
  </sheetData>
  <sheetProtection/>
  <mergeCells count="8">
    <mergeCell ref="D3:G3"/>
    <mergeCell ref="D1:G1"/>
    <mergeCell ref="D2:G2"/>
    <mergeCell ref="A7:G7"/>
    <mergeCell ref="A973:G973"/>
    <mergeCell ref="A971:D971"/>
    <mergeCell ref="A4:G4"/>
    <mergeCell ref="A5:G5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67" r:id="rId1"/>
  <headerFooter>
    <oddFooter>&amp;CСтраница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7"/>
  <sheetViews>
    <sheetView zoomScaleSheetLayoutView="75" zoomScalePageLayoutView="0" workbookViewId="0" topLeftCell="A10">
      <pane xSplit="1" ySplit="2" topLeftCell="B613" activePane="bottomRight" state="frozen"/>
      <selection pane="topLeft" activeCell="A10" sqref="A10"/>
      <selection pane="topRight" activeCell="B10" sqref="B10"/>
      <selection pane="bottomLeft" activeCell="A12" sqref="A12"/>
      <selection pane="bottomRight" activeCell="M618" sqref="M618"/>
    </sheetView>
  </sheetViews>
  <sheetFormatPr defaultColWidth="9.140625" defaultRowHeight="15" outlineLevelRow="7"/>
  <cols>
    <col min="1" max="1" width="49.7109375" style="28" customWidth="1"/>
    <col min="2" max="2" width="7.7109375" style="28" customWidth="1"/>
    <col min="3" max="3" width="10.00390625" style="28" customWidth="1"/>
    <col min="4" max="4" width="10.421875" style="28" customWidth="1"/>
    <col min="5" max="5" width="18.57421875" style="28" customWidth="1"/>
    <col min="6" max="6" width="7.28125" style="28" customWidth="1"/>
    <col min="7" max="7" width="19.8515625" style="28" customWidth="1"/>
    <col min="8" max="8" width="19.7109375" style="28" customWidth="1"/>
    <col min="9" max="9" width="17.28125" style="40" bestFit="1" customWidth="1"/>
    <col min="10" max="16384" width="9.140625" style="28" customWidth="1"/>
  </cols>
  <sheetData>
    <row r="1" spans="1:8" ht="15.75">
      <c r="A1" s="188" t="s">
        <v>829</v>
      </c>
      <c r="B1" s="188"/>
      <c r="C1" s="188"/>
      <c r="D1" s="188"/>
      <c r="E1" s="188"/>
      <c r="F1" s="188"/>
      <c r="G1" s="188"/>
      <c r="H1" s="188"/>
    </row>
    <row r="2" spans="1:8" ht="15.75">
      <c r="A2" s="188" t="s">
        <v>705</v>
      </c>
      <c r="B2" s="188"/>
      <c r="C2" s="188"/>
      <c r="D2" s="188"/>
      <c r="E2" s="188"/>
      <c r="F2" s="188"/>
      <c r="G2" s="188"/>
      <c r="H2" s="188"/>
    </row>
    <row r="3" spans="1:8" ht="15.75">
      <c r="A3" s="188" t="s">
        <v>706</v>
      </c>
      <c r="B3" s="188"/>
      <c r="C3" s="188"/>
      <c r="D3" s="188"/>
      <c r="E3" s="188"/>
      <c r="F3" s="188"/>
      <c r="G3" s="188"/>
      <c r="H3" s="188"/>
    </row>
    <row r="4" spans="1:8" ht="15.75" customHeight="1">
      <c r="A4" s="188" t="s">
        <v>707</v>
      </c>
      <c r="B4" s="188"/>
      <c r="C4" s="188"/>
      <c r="D4" s="188"/>
      <c r="E4" s="188"/>
      <c r="F4" s="188"/>
      <c r="G4" s="188"/>
      <c r="H4" s="188"/>
    </row>
    <row r="5" spans="1:8" ht="15.75" customHeight="1">
      <c r="A5" s="188"/>
      <c r="B5" s="188"/>
      <c r="C5" s="188"/>
      <c r="D5" s="188"/>
      <c r="E5" s="188"/>
      <c r="F5" s="188"/>
      <c r="G5" s="188"/>
      <c r="H5" s="188"/>
    </row>
    <row r="6" spans="1:8" ht="15.75" customHeight="1">
      <c r="A6" s="23"/>
      <c r="B6" s="23"/>
      <c r="C6" s="23"/>
      <c r="D6" s="23"/>
      <c r="E6" s="23"/>
      <c r="F6" s="23"/>
      <c r="G6" s="23"/>
      <c r="H6" s="23"/>
    </row>
    <row r="7" spans="1:8" ht="68.25" customHeight="1">
      <c r="A7" s="199" t="s">
        <v>830</v>
      </c>
      <c r="B7" s="199"/>
      <c r="C7" s="199"/>
      <c r="D7" s="199"/>
      <c r="E7" s="199"/>
      <c r="F7" s="199"/>
      <c r="G7" s="199"/>
      <c r="H7" s="199"/>
    </row>
    <row r="8" spans="1:8" ht="12.75" customHeight="1">
      <c r="A8" s="23"/>
      <c r="B8" s="23"/>
      <c r="C8" s="23"/>
      <c r="D8" s="23"/>
      <c r="E8" s="23"/>
      <c r="F8" s="23"/>
      <c r="G8" s="23"/>
      <c r="H8" s="23"/>
    </row>
    <row r="9" spans="1:8" ht="16.5" customHeight="1">
      <c r="A9" s="29"/>
      <c r="B9" s="30"/>
      <c r="C9" s="30"/>
      <c r="D9" s="30"/>
      <c r="E9" s="30"/>
      <c r="F9" s="30"/>
      <c r="G9" s="30"/>
      <c r="H9" s="41" t="s">
        <v>850</v>
      </c>
    </row>
    <row r="10" spans="1:8" ht="126">
      <c r="A10" s="61" t="s">
        <v>424</v>
      </c>
      <c r="B10" s="61" t="s">
        <v>721</v>
      </c>
      <c r="C10" s="31" t="s">
        <v>831</v>
      </c>
      <c r="D10" s="31" t="s">
        <v>832</v>
      </c>
      <c r="E10" s="61" t="s">
        <v>427</v>
      </c>
      <c r="F10" s="61" t="s">
        <v>833</v>
      </c>
      <c r="G10" s="31" t="s">
        <v>719</v>
      </c>
      <c r="H10" s="31" t="s">
        <v>419</v>
      </c>
    </row>
    <row r="11" spans="1:8" ht="15.75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</row>
    <row r="12" spans="1:9" s="35" customFormat="1" ht="15.75">
      <c r="A12" s="32" t="s">
        <v>709</v>
      </c>
      <c r="B12" s="33" t="s">
        <v>708</v>
      </c>
      <c r="C12" s="33" t="s">
        <v>3</v>
      </c>
      <c r="D12" s="33" t="s">
        <v>3</v>
      </c>
      <c r="E12" s="33" t="s">
        <v>4</v>
      </c>
      <c r="F12" s="33" t="s">
        <v>1</v>
      </c>
      <c r="G12" s="34">
        <f>G13</f>
        <v>6240006.44</v>
      </c>
      <c r="H12" s="34"/>
      <c r="I12" s="106"/>
    </row>
    <row r="13" spans="1:9" s="35" customFormat="1" ht="15.75" outlineLevel="1">
      <c r="A13" s="32" t="s">
        <v>688</v>
      </c>
      <c r="B13" s="33" t="s">
        <v>708</v>
      </c>
      <c r="C13" s="33" t="s">
        <v>2</v>
      </c>
      <c r="D13" s="33" t="s">
        <v>3</v>
      </c>
      <c r="E13" s="33" t="s">
        <v>4</v>
      </c>
      <c r="F13" s="33" t="s">
        <v>1</v>
      </c>
      <c r="G13" s="34">
        <f>G14+G32+G51</f>
        <v>6240006.44</v>
      </c>
      <c r="H13" s="34"/>
      <c r="I13" s="106"/>
    </row>
    <row r="14" spans="1:9" s="35" customFormat="1" ht="47.25" outlineLevel="2">
      <c r="A14" s="32" t="s">
        <v>659</v>
      </c>
      <c r="B14" s="33" t="s">
        <v>708</v>
      </c>
      <c r="C14" s="33" t="s">
        <v>2</v>
      </c>
      <c r="D14" s="33" t="s">
        <v>5</v>
      </c>
      <c r="E14" s="33" t="s">
        <v>4</v>
      </c>
      <c r="F14" s="33" t="s">
        <v>1</v>
      </c>
      <c r="G14" s="34">
        <f>G15+G24</f>
        <v>2370646</v>
      </c>
      <c r="H14" s="34"/>
      <c r="I14" s="106"/>
    </row>
    <row r="15" spans="1:9" s="35" customFormat="1" ht="63" hidden="1" outlineLevel="3">
      <c r="A15" s="32" t="s">
        <v>652</v>
      </c>
      <c r="B15" s="33" t="s">
        <v>708</v>
      </c>
      <c r="C15" s="33" t="s">
        <v>2</v>
      </c>
      <c r="D15" s="33" t="s">
        <v>5</v>
      </c>
      <c r="E15" s="33" t="s">
        <v>6</v>
      </c>
      <c r="F15" s="33" t="s">
        <v>1</v>
      </c>
      <c r="G15" s="34">
        <f>G16</f>
        <v>0</v>
      </c>
      <c r="H15" s="34"/>
      <c r="I15" s="106"/>
    </row>
    <row r="16" spans="1:9" s="35" customFormat="1" ht="31.5" hidden="1" outlineLevel="4">
      <c r="A16" s="32" t="s">
        <v>609</v>
      </c>
      <c r="B16" s="33" t="s">
        <v>708</v>
      </c>
      <c r="C16" s="33" t="s">
        <v>2</v>
      </c>
      <c r="D16" s="33" t="s">
        <v>5</v>
      </c>
      <c r="E16" s="33" t="s">
        <v>7</v>
      </c>
      <c r="F16" s="33" t="s">
        <v>1</v>
      </c>
      <c r="G16" s="34">
        <f>G21+G17</f>
        <v>0</v>
      </c>
      <c r="H16" s="34"/>
      <c r="I16" s="106"/>
    </row>
    <row r="17" spans="1:9" s="35" customFormat="1" ht="63" hidden="1" outlineLevel="4">
      <c r="A17" s="36" t="s">
        <v>488</v>
      </c>
      <c r="B17" s="37" t="s">
        <v>708</v>
      </c>
      <c r="C17" s="37" t="s">
        <v>2</v>
      </c>
      <c r="D17" s="37" t="s">
        <v>5</v>
      </c>
      <c r="E17" s="37" t="s">
        <v>15</v>
      </c>
      <c r="F17" s="37" t="s">
        <v>1</v>
      </c>
      <c r="G17" s="38">
        <f>G18</f>
        <v>0</v>
      </c>
      <c r="H17" s="38"/>
      <c r="I17" s="106"/>
    </row>
    <row r="18" spans="1:9" s="35" customFormat="1" ht="31.5" hidden="1" outlineLevel="4">
      <c r="A18" s="36" t="s">
        <v>430</v>
      </c>
      <c r="B18" s="37" t="s">
        <v>708</v>
      </c>
      <c r="C18" s="37" t="s">
        <v>2</v>
      </c>
      <c r="D18" s="37" t="s">
        <v>5</v>
      </c>
      <c r="E18" s="37" t="s">
        <v>16</v>
      </c>
      <c r="F18" s="37" t="s">
        <v>1</v>
      </c>
      <c r="G18" s="38">
        <f>G19+G20</f>
        <v>0</v>
      </c>
      <c r="H18" s="38"/>
      <c r="I18" s="106"/>
    </row>
    <row r="19" spans="1:9" s="35" customFormat="1" ht="94.5" hidden="1" outlineLevel="4">
      <c r="A19" s="36" t="s">
        <v>704</v>
      </c>
      <c r="B19" s="37" t="s">
        <v>708</v>
      </c>
      <c r="C19" s="37" t="s">
        <v>2</v>
      </c>
      <c r="D19" s="37" t="s">
        <v>5</v>
      </c>
      <c r="E19" s="37" t="s">
        <v>16</v>
      </c>
      <c r="F19" s="37" t="s">
        <v>10</v>
      </c>
      <c r="G19" s="38">
        <f>27706-27706</f>
        <v>0</v>
      </c>
      <c r="H19" s="38"/>
      <c r="I19" s="106"/>
    </row>
    <row r="20" spans="1:9" s="35" customFormat="1" ht="31.5" hidden="1" outlineLevel="4">
      <c r="A20" s="36" t="s">
        <v>689</v>
      </c>
      <c r="B20" s="37" t="s">
        <v>708</v>
      </c>
      <c r="C20" s="37" t="s">
        <v>2</v>
      </c>
      <c r="D20" s="37" t="s">
        <v>5</v>
      </c>
      <c r="E20" s="37" t="s">
        <v>16</v>
      </c>
      <c r="F20" s="37" t="s">
        <v>17</v>
      </c>
      <c r="G20" s="38">
        <f>24000-24000</f>
        <v>0</v>
      </c>
      <c r="H20" s="38"/>
      <c r="I20" s="106"/>
    </row>
    <row r="21" spans="1:8" ht="47.25" hidden="1" outlineLevel="5">
      <c r="A21" s="36" t="s">
        <v>722</v>
      </c>
      <c r="B21" s="37" t="s">
        <v>708</v>
      </c>
      <c r="C21" s="37" t="s">
        <v>2</v>
      </c>
      <c r="D21" s="37" t="s">
        <v>5</v>
      </c>
      <c r="E21" s="37" t="s">
        <v>8</v>
      </c>
      <c r="F21" s="37" t="s">
        <v>1</v>
      </c>
      <c r="G21" s="38">
        <f>G22</f>
        <v>0</v>
      </c>
      <c r="H21" s="38"/>
    </row>
    <row r="22" spans="1:8" ht="31.5" hidden="1" outlineLevel="6">
      <c r="A22" s="36" t="s">
        <v>430</v>
      </c>
      <c r="B22" s="37" t="s">
        <v>708</v>
      </c>
      <c r="C22" s="37" t="s">
        <v>2</v>
      </c>
      <c r="D22" s="37" t="s">
        <v>5</v>
      </c>
      <c r="E22" s="37" t="s">
        <v>9</v>
      </c>
      <c r="F22" s="37" t="s">
        <v>1</v>
      </c>
      <c r="G22" s="38">
        <f>G23</f>
        <v>0</v>
      </c>
      <c r="H22" s="38"/>
    </row>
    <row r="23" spans="1:8" ht="94.5" hidden="1" outlineLevel="7">
      <c r="A23" s="36" t="s">
        <v>704</v>
      </c>
      <c r="B23" s="37" t="s">
        <v>708</v>
      </c>
      <c r="C23" s="37" t="s">
        <v>2</v>
      </c>
      <c r="D23" s="37" t="s">
        <v>5</v>
      </c>
      <c r="E23" s="37" t="s">
        <v>9</v>
      </c>
      <c r="F23" s="37" t="s">
        <v>10</v>
      </c>
      <c r="G23" s="38">
        <f>96826.49-51706+18922.51-64043</f>
        <v>0</v>
      </c>
      <c r="H23" s="38"/>
    </row>
    <row r="24" spans="1:9" s="35" customFormat="1" ht="15.75" outlineLevel="3" collapsed="1">
      <c r="A24" s="32" t="s">
        <v>490</v>
      </c>
      <c r="B24" s="33" t="s">
        <v>708</v>
      </c>
      <c r="C24" s="33" t="s">
        <v>2</v>
      </c>
      <c r="D24" s="33" t="s">
        <v>5</v>
      </c>
      <c r="E24" s="33" t="s">
        <v>11</v>
      </c>
      <c r="F24" s="33" t="s">
        <v>1</v>
      </c>
      <c r="G24" s="34">
        <f>G25+G30+G27</f>
        <v>2370646</v>
      </c>
      <c r="H24" s="34"/>
      <c r="I24" s="106"/>
    </row>
    <row r="25" spans="1:8" ht="31.5" outlineLevel="6">
      <c r="A25" s="36" t="s">
        <v>431</v>
      </c>
      <c r="B25" s="37" t="s">
        <v>708</v>
      </c>
      <c r="C25" s="37" t="s">
        <v>2</v>
      </c>
      <c r="D25" s="37" t="s">
        <v>5</v>
      </c>
      <c r="E25" s="37" t="s">
        <v>12</v>
      </c>
      <c r="F25" s="37" t="s">
        <v>1</v>
      </c>
      <c r="G25" s="38">
        <f>G26</f>
        <v>2124303</v>
      </c>
      <c r="H25" s="38"/>
    </row>
    <row r="26" spans="1:8" ht="94.5" outlineLevel="7">
      <c r="A26" s="36" t="s">
        <v>704</v>
      </c>
      <c r="B26" s="37" t="s">
        <v>708</v>
      </c>
      <c r="C26" s="37" t="s">
        <v>2</v>
      </c>
      <c r="D26" s="37" t="s">
        <v>5</v>
      </c>
      <c r="E26" s="37" t="s">
        <v>12</v>
      </c>
      <c r="F26" s="37" t="s">
        <v>10</v>
      </c>
      <c r="G26" s="38">
        <v>2124303</v>
      </c>
      <c r="H26" s="38"/>
    </row>
    <row r="27" spans="1:8" ht="31.5" outlineLevel="7">
      <c r="A27" s="36" t="s">
        <v>945</v>
      </c>
      <c r="B27" s="37" t="s">
        <v>708</v>
      </c>
      <c r="C27" s="37" t="s">
        <v>2</v>
      </c>
      <c r="D27" s="37" t="s">
        <v>5</v>
      </c>
      <c r="E27" s="37" t="s">
        <v>946</v>
      </c>
      <c r="F27" s="37" t="s">
        <v>1</v>
      </c>
      <c r="G27" s="38">
        <f>G29+G28</f>
        <v>221343</v>
      </c>
      <c r="H27" s="38"/>
    </row>
    <row r="28" spans="1:8" ht="94.5" outlineLevel="7">
      <c r="A28" s="36" t="s">
        <v>704</v>
      </c>
      <c r="B28" s="37" t="s">
        <v>708</v>
      </c>
      <c r="C28" s="37" t="s">
        <v>2</v>
      </c>
      <c r="D28" s="37" t="s">
        <v>5</v>
      </c>
      <c r="E28" s="37" t="s">
        <v>946</v>
      </c>
      <c r="F28" s="37" t="s">
        <v>10</v>
      </c>
      <c r="G28" s="38">
        <f>136500+36843</f>
        <v>173343</v>
      </c>
      <c r="H28" s="38"/>
    </row>
    <row r="29" spans="1:8" ht="31.5" outlineLevel="7">
      <c r="A29" s="36" t="s">
        <v>689</v>
      </c>
      <c r="B29" s="37" t="s">
        <v>708</v>
      </c>
      <c r="C29" s="37" t="s">
        <v>2</v>
      </c>
      <c r="D29" s="37" t="s">
        <v>5</v>
      </c>
      <c r="E29" s="37" t="s">
        <v>946</v>
      </c>
      <c r="F29" s="37" t="s">
        <v>17</v>
      </c>
      <c r="G29" s="38">
        <f>24000+24000</f>
        <v>48000</v>
      </c>
      <c r="H29" s="38"/>
    </row>
    <row r="30" spans="1:8" ht="78.75" outlineLevel="6">
      <c r="A30" s="36" t="s">
        <v>432</v>
      </c>
      <c r="B30" s="37" t="s">
        <v>708</v>
      </c>
      <c r="C30" s="37" t="s">
        <v>2</v>
      </c>
      <c r="D30" s="37" t="s">
        <v>5</v>
      </c>
      <c r="E30" s="37" t="s">
        <v>13</v>
      </c>
      <c r="F30" s="37" t="s">
        <v>1</v>
      </c>
      <c r="G30" s="38">
        <f>G31</f>
        <v>25000</v>
      </c>
      <c r="H30" s="38"/>
    </row>
    <row r="31" spans="1:8" ht="94.5" outlineLevel="7">
      <c r="A31" s="36" t="s">
        <v>704</v>
      </c>
      <c r="B31" s="37" t="s">
        <v>708</v>
      </c>
      <c r="C31" s="37" t="s">
        <v>2</v>
      </c>
      <c r="D31" s="37" t="s">
        <v>5</v>
      </c>
      <c r="E31" s="37" t="s">
        <v>13</v>
      </c>
      <c r="F31" s="37" t="s">
        <v>10</v>
      </c>
      <c r="G31" s="38">
        <v>25000</v>
      </c>
      <c r="H31" s="38"/>
    </row>
    <row r="32" spans="1:9" s="35" customFormat="1" ht="63" outlineLevel="2">
      <c r="A32" s="32" t="s">
        <v>660</v>
      </c>
      <c r="B32" s="33" t="s">
        <v>708</v>
      </c>
      <c r="C32" s="33" t="s">
        <v>2</v>
      </c>
      <c r="D32" s="33" t="s">
        <v>14</v>
      </c>
      <c r="E32" s="33" t="s">
        <v>4</v>
      </c>
      <c r="F32" s="33" t="s">
        <v>1</v>
      </c>
      <c r="G32" s="34">
        <f>G33+G42</f>
        <v>3474648.95</v>
      </c>
      <c r="H32" s="34"/>
      <c r="I32" s="106"/>
    </row>
    <row r="33" spans="1:9" s="35" customFormat="1" ht="63" outlineLevel="3">
      <c r="A33" s="32" t="s">
        <v>652</v>
      </c>
      <c r="B33" s="33" t="s">
        <v>708</v>
      </c>
      <c r="C33" s="33" t="s">
        <v>2</v>
      </c>
      <c r="D33" s="33" t="s">
        <v>14</v>
      </c>
      <c r="E33" s="33" t="s">
        <v>6</v>
      </c>
      <c r="F33" s="33" t="s">
        <v>1</v>
      </c>
      <c r="G33" s="34">
        <f>G34</f>
        <v>16432</v>
      </c>
      <c r="H33" s="34"/>
      <c r="I33" s="106"/>
    </row>
    <row r="34" spans="1:9" s="35" customFormat="1" ht="31.5" outlineLevel="4">
      <c r="A34" s="32" t="s">
        <v>609</v>
      </c>
      <c r="B34" s="33" t="s">
        <v>708</v>
      </c>
      <c r="C34" s="33" t="s">
        <v>2</v>
      </c>
      <c r="D34" s="33" t="s">
        <v>14</v>
      </c>
      <c r="E34" s="33" t="s">
        <v>7</v>
      </c>
      <c r="F34" s="33" t="s">
        <v>1</v>
      </c>
      <c r="G34" s="34">
        <f>G35+G39</f>
        <v>16432</v>
      </c>
      <c r="H34" s="34"/>
      <c r="I34" s="106"/>
    </row>
    <row r="35" spans="1:8" ht="63" outlineLevel="5">
      <c r="A35" s="36" t="s">
        <v>723</v>
      </c>
      <c r="B35" s="37" t="s">
        <v>708</v>
      </c>
      <c r="C35" s="37" t="s">
        <v>2</v>
      </c>
      <c r="D35" s="37" t="s">
        <v>14</v>
      </c>
      <c r="E35" s="37" t="s">
        <v>15</v>
      </c>
      <c r="F35" s="37" t="s">
        <v>1</v>
      </c>
      <c r="G35" s="38">
        <f>G36</f>
        <v>7300</v>
      </c>
      <c r="H35" s="38"/>
    </row>
    <row r="36" spans="1:8" ht="31.5" outlineLevel="6">
      <c r="A36" s="36" t="s">
        <v>430</v>
      </c>
      <c r="B36" s="37" t="s">
        <v>708</v>
      </c>
      <c r="C36" s="37" t="s">
        <v>2</v>
      </c>
      <c r="D36" s="37" t="s">
        <v>14</v>
      </c>
      <c r="E36" s="37" t="s">
        <v>16</v>
      </c>
      <c r="F36" s="37" t="s">
        <v>1</v>
      </c>
      <c r="G36" s="38">
        <f>G37+G38</f>
        <v>7300</v>
      </c>
      <c r="H36" s="38"/>
    </row>
    <row r="37" spans="1:8" ht="94.5" outlineLevel="7">
      <c r="A37" s="36" t="s">
        <v>704</v>
      </c>
      <c r="B37" s="37" t="s">
        <v>708</v>
      </c>
      <c r="C37" s="37" t="s">
        <v>2</v>
      </c>
      <c r="D37" s="37" t="s">
        <v>14</v>
      </c>
      <c r="E37" s="37" t="s">
        <v>16</v>
      </c>
      <c r="F37" s="37" t="s">
        <v>10</v>
      </c>
      <c r="G37" s="38">
        <f>32300-22751-9149</f>
        <v>400</v>
      </c>
      <c r="H37" s="38"/>
    </row>
    <row r="38" spans="1:8" ht="31.5" outlineLevel="7">
      <c r="A38" s="36" t="s">
        <v>689</v>
      </c>
      <c r="B38" s="37" t="s">
        <v>708</v>
      </c>
      <c r="C38" s="37" t="s">
        <v>2</v>
      </c>
      <c r="D38" s="37" t="s">
        <v>14</v>
      </c>
      <c r="E38" s="37" t="s">
        <v>16</v>
      </c>
      <c r="F38" s="37" t="s">
        <v>17</v>
      </c>
      <c r="G38" s="38">
        <f>39500-22000-10600</f>
        <v>6900</v>
      </c>
      <c r="H38" s="38"/>
    </row>
    <row r="39" spans="1:8" ht="15.75" outlineLevel="5">
      <c r="A39" s="36" t="s">
        <v>724</v>
      </c>
      <c r="B39" s="37" t="s">
        <v>708</v>
      </c>
      <c r="C39" s="37" t="s">
        <v>2</v>
      </c>
      <c r="D39" s="37" t="s">
        <v>14</v>
      </c>
      <c r="E39" s="37" t="s">
        <v>18</v>
      </c>
      <c r="F39" s="37" t="s">
        <v>1</v>
      </c>
      <c r="G39" s="38">
        <f>G40</f>
        <v>9132</v>
      </c>
      <c r="H39" s="38"/>
    </row>
    <row r="40" spans="1:8" ht="31.5" outlineLevel="6">
      <c r="A40" s="36" t="s">
        <v>430</v>
      </c>
      <c r="B40" s="37" t="s">
        <v>708</v>
      </c>
      <c r="C40" s="37" t="s">
        <v>2</v>
      </c>
      <c r="D40" s="37" t="s">
        <v>14</v>
      </c>
      <c r="E40" s="37" t="s">
        <v>19</v>
      </c>
      <c r="F40" s="37" t="s">
        <v>1</v>
      </c>
      <c r="G40" s="38">
        <f>G41</f>
        <v>9132</v>
      </c>
      <c r="H40" s="38"/>
    </row>
    <row r="41" spans="1:8" ht="31.5" outlineLevel="7">
      <c r="A41" s="36" t="s">
        <v>689</v>
      </c>
      <c r="B41" s="37" t="s">
        <v>708</v>
      </c>
      <c r="C41" s="37" t="s">
        <v>2</v>
      </c>
      <c r="D41" s="37" t="s">
        <v>14</v>
      </c>
      <c r="E41" s="37" t="s">
        <v>19</v>
      </c>
      <c r="F41" s="37" t="s">
        <v>17</v>
      </c>
      <c r="G41" s="38">
        <v>9132</v>
      </c>
      <c r="H41" s="38"/>
    </row>
    <row r="42" spans="1:9" s="35" customFormat="1" ht="15.75" outlineLevel="3">
      <c r="A42" s="32" t="s">
        <v>490</v>
      </c>
      <c r="B42" s="33" t="s">
        <v>708</v>
      </c>
      <c r="C42" s="33" t="s">
        <v>2</v>
      </c>
      <c r="D42" s="33" t="s">
        <v>14</v>
      </c>
      <c r="E42" s="33" t="s">
        <v>11</v>
      </c>
      <c r="F42" s="33" t="s">
        <v>1</v>
      </c>
      <c r="G42" s="34">
        <f>G43+G45+G49+G48</f>
        <v>3458216.95</v>
      </c>
      <c r="H42" s="34"/>
      <c r="I42" s="106"/>
    </row>
    <row r="43" spans="1:8" ht="47.25" hidden="1" outlineLevel="6">
      <c r="A43" s="36" t="s">
        <v>433</v>
      </c>
      <c r="B43" s="37" t="s">
        <v>708</v>
      </c>
      <c r="C43" s="37" t="s">
        <v>2</v>
      </c>
      <c r="D43" s="37" t="s">
        <v>14</v>
      </c>
      <c r="E43" s="37" t="s">
        <v>20</v>
      </c>
      <c r="F43" s="37" t="s">
        <v>1</v>
      </c>
      <c r="G43" s="38">
        <f>G44</f>
        <v>0</v>
      </c>
      <c r="H43" s="38"/>
    </row>
    <row r="44" spans="1:8" ht="94.5" hidden="1" outlineLevel="7">
      <c r="A44" s="36" t="s">
        <v>704</v>
      </c>
      <c r="B44" s="37" t="s">
        <v>708</v>
      </c>
      <c r="C44" s="37" t="s">
        <v>2</v>
      </c>
      <c r="D44" s="37" t="s">
        <v>14</v>
      </c>
      <c r="E44" s="37" t="s">
        <v>20</v>
      </c>
      <c r="F44" s="37" t="s">
        <v>10</v>
      </c>
      <c r="G44" s="38">
        <f>1714645-235321.02-71066.95-1408257.03</f>
        <v>0</v>
      </c>
      <c r="H44" s="38"/>
    </row>
    <row r="45" spans="1:8" ht="31.5" outlineLevel="6" collapsed="1">
      <c r="A45" s="36" t="s">
        <v>434</v>
      </c>
      <c r="B45" s="37" t="s">
        <v>708</v>
      </c>
      <c r="C45" s="37" t="s">
        <v>2</v>
      </c>
      <c r="D45" s="37" t="s">
        <v>14</v>
      </c>
      <c r="E45" s="37" t="s">
        <v>21</v>
      </c>
      <c r="F45" s="37" t="s">
        <v>1</v>
      </c>
      <c r="G45" s="38">
        <f>G46</f>
        <v>2987580</v>
      </c>
      <c r="H45" s="38"/>
    </row>
    <row r="46" spans="1:8" ht="94.5" outlineLevel="7">
      <c r="A46" s="36" t="s">
        <v>704</v>
      </c>
      <c r="B46" s="37" t="s">
        <v>708</v>
      </c>
      <c r="C46" s="37" t="s">
        <v>2</v>
      </c>
      <c r="D46" s="37" t="s">
        <v>14</v>
      </c>
      <c r="E46" s="37" t="s">
        <v>21</v>
      </c>
      <c r="F46" s="37" t="s">
        <v>10</v>
      </c>
      <c r="G46" s="38">
        <v>2987580</v>
      </c>
      <c r="H46" s="38"/>
    </row>
    <row r="47" spans="1:8" ht="63" outlineLevel="7">
      <c r="A47" s="36" t="s">
        <v>436</v>
      </c>
      <c r="B47" s="37" t="s">
        <v>708</v>
      </c>
      <c r="C47" s="37" t="s">
        <v>2</v>
      </c>
      <c r="D47" s="37" t="s">
        <v>14</v>
      </c>
      <c r="E47" s="37" t="s">
        <v>62</v>
      </c>
      <c r="F47" s="37" t="s">
        <v>1</v>
      </c>
      <c r="G47" s="38">
        <f>G48</f>
        <v>306387.97</v>
      </c>
      <c r="H47" s="38"/>
    </row>
    <row r="48" spans="1:8" ht="94.5" outlineLevel="7">
      <c r="A48" s="36" t="s">
        <v>704</v>
      </c>
      <c r="B48" s="37" t="s">
        <v>708</v>
      </c>
      <c r="C48" s="37" t="s">
        <v>2</v>
      </c>
      <c r="D48" s="37" t="s">
        <v>14</v>
      </c>
      <c r="E48" s="37" t="s">
        <v>62</v>
      </c>
      <c r="F48" s="37" t="s">
        <v>10</v>
      </c>
      <c r="G48" s="38">
        <f>235321.02+71066.95</f>
        <v>306387.97</v>
      </c>
      <c r="H48" s="38"/>
    </row>
    <row r="49" spans="1:8" ht="78.75" outlineLevel="6">
      <c r="A49" s="36" t="s">
        <v>432</v>
      </c>
      <c r="B49" s="37" t="s">
        <v>708</v>
      </c>
      <c r="C49" s="37" t="s">
        <v>2</v>
      </c>
      <c r="D49" s="37" t="s">
        <v>14</v>
      </c>
      <c r="E49" s="37" t="s">
        <v>13</v>
      </c>
      <c r="F49" s="37" t="s">
        <v>1</v>
      </c>
      <c r="G49" s="38">
        <f>G50</f>
        <v>164248.98</v>
      </c>
      <c r="H49" s="38"/>
    </row>
    <row r="50" spans="1:8" ht="94.5" outlineLevel="7">
      <c r="A50" s="36" t="s">
        <v>704</v>
      </c>
      <c r="B50" s="37" t="s">
        <v>708</v>
      </c>
      <c r="C50" s="37" t="s">
        <v>2</v>
      </c>
      <c r="D50" s="37" t="s">
        <v>14</v>
      </c>
      <c r="E50" s="37" t="s">
        <v>13</v>
      </c>
      <c r="F50" s="37" t="s">
        <v>10</v>
      </c>
      <c r="G50" s="38">
        <f>133000+31248.98</f>
        <v>164248.98</v>
      </c>
      <c r="H50" s="38"/>
    </row>
    <row r="51" spans="1:9" s="35" customFormat="1" ht="15.75" outlineLevel="2">
      <c r="A51" s="32" t="s">
        <v>664</v>
      </c>
      <c r="B51" s="33" t="s">
        <v>708</v>
      </c>
      <c r="C51" s="33" t="s">
        <v>2</v>
      </c>
      <c r="D51" s="33" t="s">
        <v>66</v>
      </c>
      <c r="E51" s="33" t="s">
        <v>4</v>
      </c>
      <c r="F51" s="33" t="s">
        <v>1</v>
      </c>
      <c r="G51" s="34">
        <f>G52+G60</f>
        <v>394711.49</v>
      </c>
      <c r="H51" s="34"/>
      <c r="I51" s="106"/>
    </row>
    <row r="52" spans="1:9" s="35" customFormat="1" ht="47.25" outlineLevel="3">
      <c r="A52" s="32" t="s">
        <v>655</v>
      </c>
      <c r="B52" s="33" t="s">
        <v>708</v>
      </c>
      <c r="C52" s="33" t="s">
        <v>2</v>
      </c>
      <c r="D52" s="33" t="s">
        <v>66</v>
      </c>
      <c r="E52" s="33" t="s">
        <v>90</v>
      </c>
      <c r="F52" s="33" t="s">
        <v>1</v>
      </c>
      <c r="G52" s="34">
        <f>G53</f>
        <v>194356.49</v>
      </c>
      <c r="H52" s="34"/>
      <c r="I52" s="106"/>
    </row>
    <row r="53" spans="1:9" s="35" customFormat="1" ht="47.25" outlineLevel="4">
      <c r="A53" s="32" t="s">
        <v>620</v>
      </c>
      <c r="B53" s="33" t="s">
        <v>708</v>
      </c>
      <c r="C53" s="33" t="s">
        <v>2</v>
      </c>
      <c r="D53" s="33" t="s">
        <v>66</v>
      </c>
      <c r="E53" s="33" t="s">
        <v>91</v>
      </c>
      <c r="F53" s="33" t="s">
        <v>1</v>
      </c>
      <c r="G53" s="34">
        <f>G54+G57</f>
        <v>194356.49</v>
      </c>
      <c r="H53" s="34"/>
      <c r="I53" s="106"/>
    </row>
    <row r="54" spans="1:8" ht="47.25" hidden="1" outlineLevel="5">
      <c r="A54" s="36" t="s">
        <v>725</v>
      </c>
      <c r="B54" s="37" t="s">
        <v>708</v>
      </c>
      <c r="C54" s="37" t="s">
        <v>2</v>
      </c>
      <c r="D54" s="37" t="s">
        <v>66</v>
      </c>
      <c r="E54" s="37" t="s">
        <v>92</v>
      </c>
      <c r="F54" s="37" t="s">
        <v>1</v>
      </c>
      <c r="G54" s="38">
        <f>G55</f>
        <v>0</v>
      </c>
      <c r="H54" s="38"/>
    </row>
    <row r="55" spans="1:8" ht="31.5" hidden="1" outlineLevel="6">
      <c r="A55" s="36" t="s">
        <v>441</v>
      </c>
      <c r="B55" s="37" t="s">
        <v>708</v>
      </c>
      <c r="C55" s="37" t="s">
        <v>2</v>
      </c>
      <c r="D55" s="37" t="s">
        <v>66</v>
      </c>
      <c r="E55" s="37" t="s">
        <v>93</v>
      </c>
      <c r="F55" s="37" t="s">
        <v>1</v>
      </c>
      <c r="G55" s="38">
        <f>G56</f>
        <v>0</v>
      </c>
      <c r="H55" s="38"/>
    </row>
    <row r="56" spans="1:8" ht="31.5" hidden="1" outlineLevel="7">
      <c r="A56" s="36" t="s">
        <v>689</v>
      </c>
      <c r="B56" s="37" t="s">
        <v>708</v>
      </c>
      <c r="C56" s="37" t="s">
        <v>2</v>
      </c>
      <c r="D56" s="37" t="s">
        <v>66</v>
      </c>
      <c r="E56" s="37" t="s">
        <v>93</v>
      </c>
      <c r="F56" s="37" t="s">
        <v>17</v>
      </c>
      <c r="G56" s="38">
        <f>35963-18922.51-17040.49</f>
        <v>0</v>
      </c>
      <c r="H56" s="38"/>
    </row>
    <row r="57" spans="1:8" ht="47.25" outlineLevel="5" collapsed="1">
      <c r="A57" s="36" t="s">
        <v>726</v>
      </c>
      <c r="B57" s="37" t="s">
        <v>708</v>
      </c>
      <c r="C57" s="37" t="s">
        <v>2</v>
      </c>
      <c r="D57" s="37" t="s">
        <v>66</v>
      </c>
      <c r="E57" s="37" t="s">
        <v>94</v>
      </c>
      <c r="F57" s="37" t="s">
        <v>1</v>
      </c>
      <c r="G57" s="38">
        <f>G58</f>
        <v>194356.49</v>
      </c>
      <c r="H57" s="38"/>
    </row>
    <row r="58" spans="1:8" ht="31.5" outlineLevel="6">
      <c r="A58" s="36" t="s">
        <v>441</v>
      </c>
      <c r="B58" s="37" t="s">
        <v>708</v>
      </c>
      <c r="C58" s="37" t="s">
        <v>2</v>
      </c>
      <c r="D58" s="37" t="s">
        <v>66</v>
      </c>
      <c r="E58" s="37" t="s">
        <v>95</v>
      </c>
      <c r="F58" s="37" t="s">
        <v>1</v>
      </c>
      <c r="G58" s="38">
        <f>G59</f>
        <v>194356.49</v>
      </c>
      <c r="H58" s="38"/>
    </row>
    <row r="59" spans="1:8" ht="31.5" outlineLevel="7">
      <c r="A59" s="36" t="s">
        <v>689</v>
      </c>
      <c r="B59" s="37" t="s">
        <v>708</v>
      </c>
      <c r="C59" s="37" t="s">
        <v>2</v>
      </c>
      <c r="D59" s="37" t="s">
        <v>66</v>
      </c>
      <c r="E59" s="37" t="s">
        <v>95</v>
      </c>
      <c r="F59" s="37" t="s">
        <v>17</v>
      </c>
      <c r="G59" s="38">
        <f>218410-24053.51</f>
        <v>194356.49</v>
      </c>
      <c r="H59" s="38"/>
    </row>
    <row r="60" spans="1:9" s="35" customFormat="1" ht="63" outlineLevel="3">
      <c r="A60" s="32" t="s">
        <v>652</v>
      </c>
      <c r="B60" s="33" t="s">
        <v>708</v>
      </c>
      <c r="C60" s="33" t="s">
        <v>2</v>
      </c>
      <c r="D60" s="33" t="s">
        <v>66</v>
      </c>
      <c r="E60" s="33" t="s">
        <v>6</v>
      </c>
      <c r="F60" s="33" t="s">
        <v>1</v>
      </c>
      <c r="G60" s="34">
        <f>G61</f>
        <v>200355</v>
      </c>
      <c r="H60" s="34"/>
      <c r="I60" s="106"/>
    </row>
    <row r="61" spans="1:9" s="35" customFormat="1" ht="47.25" outlineLevel="4">
      <c r="A61" s="32" t="s">
        <v>624</v>
      </c>
      <c r="B61" s="33" t="s">
        <v>708</v>
      </c>
      <c r="C61" s="33" t="s">
        <v>2</v>
      </c>
      <c r="D61" s="33" t="s">
        <v>66</v>
      </c>
      <c r="E61" s="33" t="s">
        <v>131</v>
      </c>
      <c r="F61" s="33" t="s">
        <v>1</v>
      </c>
      <c r="G61" s="34">
        <f>G62</f>
        <v>200355</v>
      </c>
      <c r="H61" s="34"/>
      <c r="I61" s="106"/>
    </row>
    <row r="62" spans="1:8" ht="31.5" outlineLevel="5">
      <c r="A62" s="36" t="s">
        <v>727</v>
      </c>
      <c r="B62" s="37" t="s">
        <v>708</v>
      </c>
      <c r="C62" s="37" t="s">
        <v>2</v>
      </c>
      <c r="D62" s="37" t="s">
        <v>66</v>
      </c>
      <c r="E62" s="37" t="s">
        <v>138</v>
      </c>
      <c r="F62" s="37" t="s">
        <v>1</v>
      </c>
      <c r="G62" s="38">
        <f>G63</f>
        <v>200355</v>
      </c>
      <c r="H62" s="38"/>
    </row>
    <row r="63" spans="1:8" ht="31.5" outlineLevel="6">
      <c r="A63" s="36" t="s">
        <v>441</v>
      </c>
      <c r="B63" s="37" t="s">
        <v>708</v>
      </c>
      <c r="C63" s="37" t="s">
        <v>2</v>
      </c>
      <c r="D63" s="37" t="s">
        <v>66</v>
      </c>
      <c r="E63" s="37" t="s">
        <v>140</v>
      </c>
      <c r="F63" s="37" t="s">
        <v>1</v>
      </c>
      <c r="G63" s="38">
        <f>G64</f>
        <v>200355</v>
      </c>
      <c r="H63" s="38"/>
    </row>
    <row r="64" spans="1:8" ht="31.5" outlineLevel="7">
      <c r="A64" s="36" t="s">
        <v>689</v>
      </c>
      <c r="B64" s="37" t="s">
        <v>708</v>
      </c>
      <c r="C64" s="37" t="s">
        <v>2</v>
      </c>
      <c r="D64" s="37" t="s">
        <v>66</v>
      </c>
      <c r="E64" s="37" t="s">
        <v>140</v>
      </c>
      <c r="F64" s="37" t="s">
        <v>17</v>
      </c>
      <c r="G64" s="38">
        <v>200355</v>
      </c>
      <c r="H64" s="38"/>
    </row>
    <row r="65" spans="1:9" s="35" customFormat="1" ht="63">
      <c r="A65" s="32" t="s">
        <v>728</v>
      </c>
      <c r="B65" s="33" t="s">
        <v>710</v>
      </c>
      <c r="C65" s="33" t="s">
        <v>3</v>
      </c>
      <c r="D65" s="33" t="s">
        <v>3</v>
      </c>
      <c r="E65" s="33" t="s">
        <v>4</v>
      </c>
      <c r="F65" s="33" t="s">
        <v>1</v>
      </c>
      <c r="G65" s="34">
        <f>G66+G196+G235+G275+G291</f>
        <v>190949302.08999997</v>
      </c>
      <c r="H65" s="34">
        <f>H66+H196+H235+H275</f>
        <v>5995108.8</v>
      </c>
      <c r="I65" s="106"/>
    </row>
    <row r="66" spans="1:9" s="35" customFormat="1" ht="15.75" outlineLevel="1">
      <c r="A66" s="32" t="s">
        <v>688</v>
      </c>
      <c r="B66" s="33" t="s">
        <v>710</v>
      </c>
      <c r="C66" s="33" t="s">
        <v>2</v>
      </c>
      <c r="D66" s="33" t="s">
        <v>3</v>
      </c>
      <c r="E66" s="33" t="s">
        <v>4</v>
      </c>
      <c r="F66" s="33" t="s">
        <v>1</v>
      </c>
      <c r="G66" s="34">
        <f>G67+G98+G94</f>
        <v>101918553.5</v>
      </c>
      <c r="H66" s="34">
        <f>H98</f>
        <v>784042</v>
      </c>
      <c r="I66" s="106"/>
    </row>
    <row r="67" spans="1:9" s="35" customFormat="1" ht="78.75" outlineLevel="2">
      <c r="A67" s="32" t="s">
        <v>661</v>
      </c>
      <c r="B67" s="33" t="s">
        <v>710</v>
      </c>
      <c r="C67" s="33" t="s">
        <v>2</v>
      </c>
      <c r="D67" s="33" t="s">
        <v>22</v>
      </c>
      <c r="E67" s="33" t="s">
        <v>4</v>
      </c>
      <c r="F67" s="33" t="s">
        <v>1</v>
      </c>
      <c r="G67" s="34">
        <f>G68</f>
        <v>30915835.25</v>
      </c>
      <c r="H67" s="34"/>
      <c r="I67" s="106"/>
    </row>
    <row r="68" spans="1:9" s="35" customFormat="1" ht="63" outlineLevel="3">
      <c r="A68" s="32" t="s">
        <v>652</v>
      </c>
      <c r="B68" s="33" t="s">
        <v>710</v>
      </c>
      <c r="C68" s="33" t="s">
        <v>2</v>
      </c>
      <c r="D68" s="33" t="s">
        <v>22</v>
      </c>
      <c r="E68" s="33" t="s">
        <v>6</v>
      </c>
      <c r="F68" s="33" t="s">
        <v>1</v>
      </c>
      <c r="G68" s="34">
        <f>G69+G82</f>
        <v>30915835.25</v>
      </c>
      <c r="H68" s="34"/>
      <c r="I68" s="106"/>
    </row>
    <row r="69" spans="1:9" s="35" customFormat="1" ht="31.5" outlineLevel="4">
      <c r="A69" s="32" t="s">
        <v>612</v>
      </c>
      <c r="B69" s="33" t="s">
        <v>710</v>
      </c>
      <c r="C69" s="33" t="s">
        <v>2</v>
      </c>
      <c r="D69" s="33" t="s">
        <v>22</v>
      </c>
      <c r="E69" s="33" t="s">
        <v>43</v>
      </c>
      <c r="F69" s="33" t="s">
        <v>1</v>
      </c>
      <c r="G69" s="34">
        <f>G70</f>
        <v>30401335.25</v>
      </c>
      <c r="H69" s="34"/>
      <c r="I69" s="106"/>
    </row>
    <row r="70" spans="1:8" ht="78.75" outlineLevel="5">
      <c r="A70" s="36" t="s">
        <v>729</v>
      </c>
      <c r="B70" s="37" t="s">
        <v>710</v>
      </c>
      <c r="C70" s="37" t="s">
        <v>2</v>
      </c>
      <c r="D70" s="37" t="s">
        <v>22</v>
      </c>
      <c r="E70" s="37" t="s">
        <v>44</v>
      </c>
      <c r="F70" s="37" t="s">
        <v>1</v>
      </c>
      <c r="G70" s="38">
        <f>G71+G73+G76+G78+G80</f>
        <v>30401335.25</v>
      </c>
      <c r="H70" s="38"/>
    </row>
    <row r="71" spans="1:8" ht="31.5" outlineLevel="6">
      <c r="A71" s="36" t="s">
        <v>435</v>
      </c>
      <c r="B71" s="37" t="s">
        <v>710</v>
      </c>
      <c r="C71" s="37" t="s">
        <v>2</v>
      </c>
      <c r="D71" s="37" t="s">
        <v>22</v>
      </c>
      <c r="E71" s="37" t="s">
        <v>45</v>
      </c>
      <c r="F71" s="37" t="s">
        <v>1</v>
      </c>
      <c r="G71" s="38">
        <f>G72</f>
        <v>2021186.3499999999</v>
      </c>
      <c r="H71" s="38"/>
    </row>
    <row r="72" spans="1:8" ht="94.5" outlineLevel="7">
      <c r="A72" s="36" t="s">
        <v>704</v>
      </c>
      <c r="B72" s="37" t="s">
        <v>710</v>
      </c>
      <c r="C72" s="37" t="s">
        <v>2</v>
      </c>
      <c r="D72" s="37" t="s">
        <v>22</v>
      </c>
      <c r="E72" s="37" t="s">
        <v>45</v>
      </c>
      <c r="F72" s="37" t="s">
        <v>10</v>
      </c>
      <c r="G72" s="38">
        <f>1925844.89+24458.76+11541.32+51466.94+7874.44</f>
        <v>2021186.3499999999</v>
      </c>
      <c r="H72" s="38"/>
    </row>
    <row r="73" spans="1:8" ht="31.5" outlineLevel="6">
      <c r="A73" s="36" t="s">
        <v>434</v>
      </c>
      <c r="B73" s="37" t="s">
        <v>710</v>
      </c>
      <c r="C73" s="37" t="s">
        <v>2</v>
      </c>
      <c r="D73" s="37" t="s">
        <v>22</v>
      </c>
      <c r="E73" s="37" t="s">
        <v>46</v>
      </c>
      <c r="F73" s="37" t="s">
        <v>1</v>
      </c>
      <c r="G73" s="38">
        <f>G74+G75</f>
        <v>27412766.389999997</v>
      </c>
      <c r="H73" s="38"/>
    </row>
    <row r="74" spans="1:8" ht="94.5" outlineLevel="7">
      <c r="A74" s="36" t="s">
        <v>704</v>
      </c>
      <c r="B74" s="37" t="s">
        <v>710</v>
      </c>
      <c r="C74" s="37" t="s">
        <v>2</v>
      </c>
      <c r="D74" s="37" t="s">
        <v>22</v>
      </c>
      <c r="E74" s="37" t="s">
        <v>46</v>
      </c>
      <c r="F74" s="37" t="s">
        <v>10</v>
      </c>
      <c r="G74" s="38">
        <f>27090389.31+155344.56+46914.06</f>
        <v>27292647.929999996</v>
      </c>
      <c r="H74" s="38"/>
    </row>
    <row r="75" spans="1:8" ht="31.5" outlineLevel="7">
      <c r="A75" s="36" t="s">
        <v>690</v>
      </c>
      <c r="B75" s="37" t="s">
        <v>710</v>
      </c>
      <c r="C75" s="37" t="s">
        <v>2</v>
      </c>
      <c r="D75" s="37" t="s">
        <v>22</v>
      </c>
      <c r="E75" s="37" t="s">
        <v>46</v>
      </c>
      <c r="F75" s="37" t="s">
        <v>47</v>
      </c>
      <c r="G75" s="38">
        <v>120118.46</v>
      </c>
      <c r="H75" s="38"/>
    </row>
    <row r="76" spans="1:8" ht="31.5" outlineLevel="6">
      <c r="A76" s="36" t="s">
        <v>430</v>
      </c>
      <c r="B76" s="37" t="s">
        <v>710</v>
      </c>
      <c r="C76" s="37" t="s">
        <v>2</v>
      </c>
      <c r="D76" s="37" t="s">
        <v>22</v>
      </c>
      <c r="E76" s="37" t="s">
        <v>48</v>
      </c>
      <c r="F76" s="37" t="s">
        <v>1</v>
      </c>
      <c r="G76" s="38">
        <f>G77</f>
        <v>3360</v>
      </c>
      <c r="H76" s="38"/>
    </row>
    <row r="77" spans="1:8" ht="94.5" outlineLevel="7">
      <c r="A77" s="36" t="s">
        <v>704</v>
      </c>
      <c r="B77" s="37" t="s">
        <v>710</v>
      </c>
      <c r="C77" s="37" t="s">
        <v>2</v>
      </c>
      <c r="D77" s="37" t="s">
        <v>22</v>
      </c>
      <c r="E77" s="37" t="s">
        <v>48</v>
      </c>
      <c r="F77" s="37" t="s">
        <v>10</v>
      </c>
      <c r="G77" s="38">
        <v>3360</v>
      </c>
      <c r="H77" s="38"/>
    </row>
    <row r="78" spans="1:8" ht="63" outlineLevel="6">
      <c r="A78" s="36" t="s">
        <v>436</v>
      </c>
      <c r="B78" s="37" t="s">
        <v>710</v>
      </c>
      <c r="C78" s="37" t="s">
        <v>2</v>
      </c>
      <c r="D78" s="37" t="s">
        <v>22</v>
      </c>
      <c r="E78" s="37" t="s">
        <v>49</v>
      </c>
      <c r="F78" s="37" t="s">
        <v>1</v>
      </c>
      <c r="G78" s="38">
        <f>G79</f>
        <v>466122.51</v>
      </c>
      <c r="H78" s="38"/>
    </row>
    <row r="79" spans="1:8" ht="94.5" outlineLevel="7">
      <c r="A79" s="36" t="s">
        <v>704</v>
      </c>
      <c r="B79" s="37" t="s">
        <v>710</v>
      </c>
      <c r="C79" s="37" t="s">
        <v>2</v>
      </c>
      <c r="D79" s="37" t="s">
        <v>22</v>
      </c>
      <c r="E79" s="37" t="s">
        <v>49</v>
      </c>
      <c r="F79" s="37" t="s">
        <v>10</v>
      </c>
      <c r="G79" s="38">
        <v>466122.51</v>
      </c>
      <c r="H79" s="38"/>
    </row>
    <row r="80" spans="1:8" ht="78.75" outlineLevel="6">
      <c r="A80" s="36" t="s">
        <v>432</v>
      </c>
      <c r="B80" s="37" t="s">
        <v>710</v>
      </c>
      <c r="C80" s="37" t="s">
        <v>2</v>
      </c>
      <c r="D80" s="37" t="s">
        <v>22</v>
      </c>
      <c r="E80" s="37" t="s">
        <v>50</v>
      </c>
      <c r="F80" s="37" t="s">
        <v>1</v>
      </c>
      <c r="G80" s="38">
        <f>G81</f>
        <v>497900</v>
      </c>
      <c r="H80" s="38"/>
    </row>
    <row r="81" spans="1:8" ht="94.5" outlineLevel="7">
      <c r="A81" s="36" t="s">
        <v>704</v>
      </c>
      <c r="B81" s="37" t="s">
        <v>710</v>
      </c>
      <c r="C81" s="37" t="s">
        <v>2</v>
      </c>
      <c r="D81" s="37" t="s">
        <v>22</v>
      </c>
      <c r="E81" s="37" t="s">
        <v>50</v>
      </c>
      <c r="F81" s="37" t="s">
        <v>10</v>
      </c>
      <c r="G81" s="38">
        <f>422900+75000</f>
        <v>497900</v>
      </c>
      <c r="H81" s="38"/>
    </row>
    <row r="82" spans="1:9" s="35" customFormat="1" ht="31.5" outlineLevel="4">
      <c r="A82" s="32" t="s">
        <v>609</v>
      </c>
      <c r="B82" s="33" t="s">
        <v>710</v>
      </c>
      <c r="C82" s="33" t="s">
        <v>2</v>
      </c>
      <c r="D82" s="33" t="s">
        <v>22</v>
      </c>
      <c r="E82" s="33" t="s">
        <v>7</v>
      </c>
      <c r="F82" s="33" t="s">
        <v>1</v>
      </c>
      <c r="G82" s="34">
        <f>G83+G87+G90</f>
        <v>514500</v>
      </c>
      <c r="H82" s="34"/>
      <c r="I82" s="106"/>
    </row>
    <row r="83" spans="1:8" ht="63" outlineLevel="5">
      <c r="A83" s="36" t="s">
        <v>723</v>
      </c>
      <c r="B83" s="37" t="s">
        <v>710</v>
      </c>
      <c r="C83" s="37" t="s">
        <v>2</v>
      </c>
      <c r="D83" s="37" t="s">
        <v>22</v>
      </c>
      <c r="E83" s="37" t="s">
        <v>15</v>
      </c>
      <c r="F83" s="37" t="s">
        <v>1</v>
      </c>
      <c r="G83" s="38">
        <f>G84</f>
        <v>64200</v>
      </c>
      <c r="H83" s="38"/>
    </row>
    <row r="84" spans="1:8" ht="31.5" outlineLevel="6">
      <c r="A84" s="36" t="s">
        <v>430</v>
      </c>
      <c r="B84" s="37" t="s">
        <v>710</v>
      </c>
      <c r="C84" s="37" t="s">
        <v>2</v>
      </c>
      <c r="D84" s="37" t="s">
        <v>22</v>
      </c>
      <c r="E84" s="37" t="s">
        <v>16</v>
      </c>
      <c r="F84" s="37" t="s">
        <v>1</v>
      </c>
      <c r="G84" s="38">
        <f>G85+G86</f>
        <v>64200</v>
      </c>
      <c r="H84" s="38"/>
    </row>
    <row r="85" spans="1:8" ht="94.5" outlineLevel="7">
      <c r="A85" s="36" t="s">
        <v>704</v>
      </c>
      <c r="B85" s="37" t="s">
        <v>710</v>
      </c>
      <c r="C85" s="37" t="s">
        <v>2</v>
      </c>
      <c r="D85" s="37" t="s">
        <v>22</v>
      </c>
      <c r="E85" s="37" t="s">
        <v>16</v>
      </c>
      <c r="F85" s="37" t="s">
        <v>10</v>
      </c>
      <c r="G85" s="38">
        <f>43560-23560</f>
        <v>20000</v>
      </c>
      <c r="H85" s="38"/>
    </row>
    <row r="86" spans="1:8" ht="31.5" outlineLevel="7">
      <c r="A86" s="36" t="s">
        <v>689</v>
      </c>
      <c r="B86" s="37" t="s">
        <v>710</v>
      </c>
      <c r="C86" s="37" t="s">
        <v>2</v>
      </c>
      <c r="D86" s="37" t="s">
        <v>22</v>
      </c>
      <c r="E86" s="37" t="s">
        <v>16</v>
      </c>
      <c r="F86" s="37" t="s">
        <v>17</v>
      </c>
      <c r="G86" s="38">
        <f>211440-60000-107240</f>
        <v>44200</v>
      </c>
      <c r="H86" s="38"/>
    </row>
    <row r="87" spans="1:8" ht="15.75" outlineLevel="5">
      <c r="A87" s="36" t="s">
        <v>724</v>
      </c>
      <c r="B87" s="37" t="s">
        <v>710</v>
      </c>
      <c r="C87" s="37" t="s">
        <v>2</v>
      </c>
      <c r="D87" s="37" t="s">
        <v>22</v>
      </c>
      <c r="E87" s="37" t="s">
        <v>18</v>
      </c>
      <c r="F87" s="37" t="s">
        <v>1</v>
      </c>
      <c r="G87" s="38">
        <f>G88</f>
        <v>197100</v>
      </c>
      <c r="H87" s="38"/>
    </row>
    <row r="88" spans="1:8" ht="31.5" outlineLevel="6">
      <c r="A88" s="36" t="s">
        <v>430</v>
      </c>
      <c r="B88" s="37" t="s">
        <v>710</v>
      </c>
      <c r="C88" s="37" t="s">
        <v>2</v>
      </c>
      <c r="D88" s="37" t="s">
        <v>22</v>
      </c>
      <c r="E88" s="37" t="s">
        <v>19</v>
      </c>
      <c r="F88" s="37" t="s">
        <v>1</v>
      </c>
      <c r="G88" s="38">
        <f>G89</f>
        <v>197100</v>
      </c>
      <c r="H88" s="38"/>
    </row>
    <row r="89" spans="1:8" ht="31.5" outlineLevel="7">
      <c r="A89" s="36" t="s">
        <v>689</v>
      </c>
      <c r="B89" s="37" t="s">
        <v>710</v>
      </c>
      <c r="C89" s="37" t="s">
        <v>2</v>
      </c>
      <c r="D89" s="37" t="s">
        <v>22</v>
      </c>
      <c r="E89" s="37" t="s">
        <v>19</v>
      </c>
      <c r="F89" s="37" t="s">
        <v>17</v>
      </c>
      <c r="G89" s="38">
        <f>143100+54000</f>
        <v>197100</v>
      </c>
      <c r="H89" s="38"/>
    </row>
    <row r="90" spans="1:8" ht="47.25" outlineLevel="5">
      <c r="A90" s="36" t="s">
        <v>722</v>
      </c>
      <c r="B90" s="37" t="s">
        <v>710</v>
      </c>
      <c r="C90" s="37" t="s">
        <v>2</v>
      </c>
      <c r="D90" s="37" t="s">
        <v>22</v>
      </c>
      <c r="E90" s="37" t="s">
        <v>8</v>
      </c>
      <c r="F90" s="37" t="s">
        <v>1</v>
      </c>
      <c r="G90" s="38">
        <f>G91</f>
        <v>253200</v>
      </c>
      <c r="H90" s="38"/>
    </row>
    <row r="91" spans="1:8" ht="31.5" outlineLevel="6">
      <c r="A91" s="36" t="s">
        <v>430</v>
      </c>
      <c r="B91" s="37" t="s">
        <v>710</v>
      </c>
      <c r="C91" s="37" t="s">
        <v>2</v>
      </c>
      <c r="D91" s="37" t="s">
        <v>22</v>
      </c>
      <c r="E91" s="37" t="s">
        <v>9</v>
      </c>
      <c r="F91" s="37" t="s">
        <v>1</v>
      </c>
      <c r="G91" s="38">
        <f>G92+G93</f>
        <v>253200</v>
      </c>
      <c r="H91" s="38"/>
    </row>
    <row r="92" spans="1:8" ht="94.5" outlineLevel="7">
      <c r="A92" s="36" t="s">
        <v>704</v>
      </c>
      <c r="B92" s="37" t="s">
        <v>710</v>
      </c>
      <c r="C92" s="37" t="s">
        <v>2</v>
      </c>
      <c r="D92" s="37" t="s">
        <v>22</v>
      </c>
      <c r="E92" s="37" t="s">
        <v>9</v>
      </c>
      <c r="F92" s="37" t="s">
        <v>10</v>
      </c>
      <c r="G92" s="38">
        <f>294800-130800</f>
        <v>164000</v>
      </c>
      <c r="H92" s="38"/>
    </row>
    <row r="93" spans="1:8" ht="31.5" outlineLevel="7">
      <c r="A93" s="108" t="s">
        <v>689</v>
      </c>
      <c r="B93" s="109" t="s">
        <v>710</v>
      </c>
      <c r="C93" s="109" t="s">
        <v>2</v>
      </c>
      <c r="D93" s="109" t="s">
        <v>22</v>
      </c>
      <c r="E93" s="109" t="s">
        <v>9</v>
      </c>
      <c r="F93" s="109" t="s">
        <v>17</v>
      </c>
      <c r="G93" s="110">
        <v>89200</v>
      </c>
      <c r="H93" s="38"/>
    </row>
    <row r="94" spans="1:8" ht="31.5" outlineLevel="7">
      <c r="A94" s="100" t="s">
        <v>892</v>
      </c>
      <c r="B94" s="101" t="s">
        <v>710</v>
      </c>
      <c r="C94" s="101" t="s">
        <v>2</v>
      </c>
      <c r="D94" s="101" t="s">
        <v>239</v>
      </c>
      <c r="E94" s="114" t="s">
        <v>4</v>
      </c>
      <c r="F94" s="101" t="s">
        <v>1</v>
      </c>
      <c r="G94" s="115">
        <f>G95</f>
        <v>1063600</v>
      </c>
      <c r="H94" s="111"/>
    </row>
    <row r="95" spans="1:8" ht="15.75" outlineLevel="7">
      <c r="A95" s="89" t="s">
        <v>490</v>
      </c>
      <c r="B95" s="90" t="s">
        <v>710</v>
      </c>
      <c r="C95" s="90" t="s">
        <v>2</v>
      </c>
      <c r="D95" s="90" t="s">
        <v>239</v>
      </c>
      <c r="E95" s="90" t="s">
        <v>11</v>
      </c>
      <c r="F95" s="90" t="s">
        <v>1</v>
      </c>
      <c r="G95" s="116">
        <f>G96</f>
        <v>1063600</v>
      </c>
      <c r="H95" s="111"/>
    </row>
    <row r="96" spans="1:8" ht="31.5" outlineLevel="7">
      <c r="A96" s="89" t="s">
        <v>893</v>
      </c>
      <c r="B96" s="90" t="s">
        <v>710</v>
      </c>
      <c r="C96" s="90" t="s">
        <v>2</v>
      </c>
      <c r="D96" s="90" t="s">
        <v>239</v>
      </c>
      <c r="E96" s="90" t="s">
        <v>894</v>
      </c>
      <c r="F96" s="90" t="s">
        <v>1</v>
      </c>
      <c r="G96" s="116">
        <f>G97</f>
        <v>1063600</v>
      </c>
      <c r="H96" s="111"/>
    </row>
    <row r="97" spans="1:8" ht="31.5" outlineLevel="7">
      <c r="A97" s="89" t="s">
        <v>689</v>
      </c>
      <c r="B97" s="90" t="s">
        <v>710</v>
      </c>
      <c r="C97" s="90" t="s">
        <v>2</v>
      </c>
      <c r="D97" s="90" t="s">
        <v>239</v>
      </c>
      <c r="E97" s="90" t="s">
        <v>894</v>
      </c>
      <c r="F97" s="90" t="s">
        <v>65</v>
      </c>
      <c r="G97" s="116">
        <f>900000+163600</f>
        <v>1063600</v>
      </c>
      <c r="H97" s="111"/>
    </row>
    <row r="98" spans="1:9" s="35" customFormat="1" ht="15.75" outlineLevel="2">
      <c r="A98" s="32" t="s">
        <v>664</v>
      </c>
      <c r="B98" s="33" t="s">
        <v>710</v>
      </c>
      <c r="C98" s="33" t="s">
        <v>2</v>
      </c>
      <c r="D98" s="33" t="s">
        <v>66</v>
      </c>
      <c r="E98" s="33" t="s">
        <v>4</v>
      </c>
      <c r="F98" s="33" t="s">
        <v>1</v>
      </c>
      <c r="G98" s="34">
        <f>G99+G103+G114+G118+G122+G150+G188</f>
        <v>69939118.25</v>
      </c>
      <c r="H98" s="34">
        <f>H122+H150</f>
        <v>784042</v>
      </c>
      <c r="I98" s="106"/>
    </row>
    <row r="99" spans="1:9" s="35" customFormat="1" ht="63" outlineLevel="4">
      <c r="A99" s="32" t="s">
        <v>615</v>
      </c>
      <c r="B99" s="33" t="s">
        <v>710</v>
      </c>
      <c r="C99" s="33" t="s">
        <v>2</v>
      </c>
      <c r="D99" s="33" t="s">
        <v>66</v>
      </c>
      <c r="E99" s="33" t="s">
        <v>67</v>
      </c>
      <c r="F99" s="33" t="s">
        <v>1</v>
      </c>
      <c r="G99" s="34">
        <f>G100</f>
        <v>318944</v>
      </c>
      <c r="H99" s="34"/>
      <c r="I99" s="106"/>
    </row>
    <row r="100" spans="1:8" ht="63" outlineLevel="5">
      <c r="A100" s="36" t="s">
        <v>730</v>
      </c>
      <c r="B100" s="37" t="s">
        <v>710</v>
      </c>
      <c r="C100" s="37" t="s">
        <v>2</v>
      </c>
      <c r="D100" s="37" t="s">
        <v>66</v>
      </c>
      <c r="E100" s="37" t="s">
        <v>68</v>
      </c>
      <c r="F100" s="37" t="s">
        <v>1</v>
      </c>
      <c r="G100" s="38">
        <f>G101</f>
        <v>318944</v>
      </c>
      <c r="H100" s="38"/>
    </row>
    <row r="101" spans="1:8" ht="47.25" outlineLevel="6">
      <c r="A101" s="36" t="s">
        <v>439</v>
      </c>
      <c r="B101" s="37" t="s">
        <v>710</v>
      </c>
      <c r="C101" s="37" t="s">
        <v>2</v>
      </c>
      <c r="D101" s="37" t="s">
        <v>66</v>
      </c>
      <c r="E101" s="37" t="s">
        <v>69</v>
      </c>
      <c r="F101" s="37" t="s">
        <v>1</v>
      </c>
      <c r="G101" s="38">
        <f>G102</f>
        <v>318944</v>
      </c>
      <c r="H101" s="38"/>
    </row>
    <row r="102" spans="1:8" ht="47.25" outlineLevel="7">
      <c r="A102" s="36" t="s">
        <v>692</v>
      </c>
      <c r="B102" s="37" t="s">
        <v>710</v>
      </c>
      <c r="C102" s="37" t="s">
        <v>2</v>
      </c>
      <c r="D102" s="37" t="s">
        <v>66</v>
      </c>
      <c r="E102" s="37" t="s">
        <v>69</v>
      </c>
      <c r="F102" s="37" t="s">
        <v>70</v>
      </c>
      <c r="G102" s="38">
        <v>318944</v>
      </c>
      <c r="H102" s="38"/>
    </row>
    <row r="103" spans="1:9" s="35" customFormat="1" ht="47.25" outlineLevel="3">
      <c r="A103" s="32" t="s">
        <v>654</v>
      </c>
      <c r="B103" s="33" t="s">
        <v>710</v>
      </c>
      <c r="C103" s="33" t="s">
        <v>2</v>
      </c>
      <c r="D103" s="33" t="s">
        <v>66</v>
      </c>
      <c r="E103" s="33" t="s">
        <v>71</v>
      </c>
      <c r="F103" s="33" t="s">
        <v>1</v>
      </c>
      <c r="G103" s="34">
        <f>G104</f>
        <v>1971600</v>
      </c>
      <c r="H103" s="34"/>
      <c r="I103" s="106"/>
    </row>
    <row r="104" spans="1:9" s="35" customFormat="1" ht="47.25" outlineLevel="4">
      <c r="A104" s="32" t="s">
        <v>616</v>
      </c>
      <c r="B104" s="33" t="s">
        <v>710</v>
      </c>
      <c r="C104" s="33" t="s">
        <v>2</v>
      </c>
      <c r="D104" s="33" t="s">
        <v>66</v>
      </c>
      <c r="E104" s="33" t="s">
        <v>72</v>
      </c>
      <c r="F104" s="33" t="s">
        <v>1</v>
      </c>
      <c r="G104" s="34">
        <f>G105+G108+G111</f>
        <v>1971600</v>
      </c>
      <c r="H104" s="34"/>
      <c r="I104" s="106"/>
    </row>
    <row r="105" spans="1:8" ht="31.5" outlineLevel="5">
      <c r="A105" s="36" t="s">
        <v>834</v>
      </c>
      <c r="B105" s="37" t="s">
        <v>710</v>
      </c>
      <c r="C105" s="37" t="s">
        <v>2</v>
      </c>
      <c r="D105" s="37" t="s">
        <v>66</v>
      </c>
      <c r="E105" s="37" t="s">
        <v>73</v>
      </c>
      <c r="F105" s="37" t="s">
        <v>1</v>
      </c>
      <c r="G105" s="38">
        <f>G106</f>
        <v>1899660</v>
      </c>
      <c r="H105" s="38"/>
    </row>
    <row r="106" spans="1:8" ht="31.5" outlineLevel="6">
      <c r="A106" s="36" t="s">
        <v>440</v>
      </c>
      <c r="B106" s="37" t="s">
        <v>710</v>
      </c>
      <c r="C106" s="37" t="s">
        <v>2</v>
      </c>
      <c r="D106" s="37" t="s">
        <v>66</v>
      </c>
      <c r="E106" s="37" t="s">
        <v>74</v>
      </c>
      <c r="F106" s="37" t="s">
        <v>1</v>
      </c>
      <c r="G106" s="38">
        <f>G107</f>
        <v>1899660</v>
      </c>
      <c r="H106" s="38"/>
    </row>
    <row r="107" spans="1:8" ht="31.5" outlineLevel="7">
      <c r="A107" s="36" t="s">
        <v>689</v>
      </c>
      <c r="B107" s="37" t="s">
        <v>710</v>
      </c>
      <c r="C107" s="37" t="s">
        <v>2</v>
      </c>
      <c r="D107" s="37" t="s">
        <v>66</v>
      </c>
      <c r="E107" s="37" t="s">
        <v>74</v>
      </c>
      <c r="F107" s="37" t="s">
        <v>17</v>
      </c>
      <c r="G107" s="38">
        <f>231500+591350+1076810</f>
        <v>1899660</v>
      </c>
      <c r="H107" s="38"/>
    </row>
    <row r="108" spans="1:8" ht="31.5" hidden="1" outlineLevel="5">
      <c r="A108" s="36" t="s">
        <v>835</v>
      </c>
      <c r="B108" s="37" t="s">
        <v>710</v>
      </c>
      <c r="C108" s="37" t="s">
        <v>2</v>
      </c>
      <c r="D108" s="37" t="s">
        <v>66</v>
      </c>
      <c r="E108" s="37" t="s">
        <v>75</v>
      </c>
      <c r="F108" s="37" t="s">
        <v>1</v>
      </c>
      <c r="G108" s="38">
        <f>G109</f>
        <v>0</v>
      </c>
      <c r="H108" s="38"/>
    </row>
    <row r="109" spans="1:8" ht="31.5" hidden="1" outlineLevel="6">
      <c r="A109" s="36" t="s">
        <v>441</v>
      </c>
      <c r="B109" s="37" t="s">
        <v>710</v>
      </c>
      <c r="C109" s="37" t="s">
        <v>2</v>
      </c>
      <c r="D109" s="37" t="s">
        <v>66</v>
      </c>
      <c r="E109" s="37" t="s">
        <v>76</v>
      </c>
      <c r="F109" s="37" t="s">
        <v>1</v>
      </c>
      <c r="G109" s="38">
        <f>G110</f>
        <v>0</v>
      </c>
      <c r="H109" s="38"/>
    </row>
    <row r="110" spans="1:8" ht="31.5" hidden="1" outlineLevel="7">
      <c r="A110" s="36" t="s">
        <v>689</v>
      </c>
      <c r="B110" s="37" t="s">
        <v>710</v>
      </c>
      <c r="C110" s="37" t="s">
        <v>2</v>
      </c>
      <c r="D110" s="37" t="s">
        <v>66</v>
      </c>
      <c r="E110" s="37" t="s">
        <v>76</v>
      </c>
      <c r="F110" s="37" t="s">
        <v>17</v>
      </c>
      <c r="G110" s="38">
        <f>3000000-591350-701812.41-1706837.59</f>
        <v>0</v>
      </c>
      <c r="H110" s="38"/>
    </row>
    <row r="111" spans="1:8" ht="94.5" outlineLevel="7">
      <c r="A111" s="36" t="s">
        <v>526</v>
      </c>
      <c r="B111" s="37" t="s">
        <v>710</v>
      </c>
      <c r="C111" s="37" t="s">
        <v>2</v>
      </c>
      <c r="D111" s="37" t="s">
        <v>66</v>
      </c>
      <c r="E111" s="37" t="s">
        <v>147</v>
      </c>
      <c r="F111" s="37" t="s">
        <v>1</v>
      </c>
      <c r="G111" s="38">
        <f>G112</f>
        <v>71940</v>
      </c>
      <c r="H111" s="38"/>
    </row>
    <row r="112" spans="1:8" ht="31.5" outlineLevel="7">
      <c r="A112" s="36" t="s">
        <v>441</v>
      </c>
      <c r="B112" s="37" t="s">
        <v>710</v>
      </c>
      <c r="C112" s="37" t="s">
        <v>2</v>
      </c>
      <c r="D112" s="37" t="s">
        <v>66</v>
      </c>
      <c r="E112" s="37" t="s">
        <v>148</v>
      </c>
      <c r="F112" s="37" t="s">
        <v>1</v>
      </c>
      <c r="G112" s="38">
        <f>G113</f>
        <v>71940</v>
      </c>
      <c r="H112" s="38"/>
    </row>
    <row r="113" spans="1:8" ht="31.5" outlineLevel="7">
      <c r="A113" s="36" t="s">
        <v>689</v>
      </c>
      <c r="B113" s="37" t="s">
        <v>710</v>
      </c>
      <c r="C113" s="37" t="s">
        <v>2</v>
      </c>
      <c r="D113" s="37" t="s">
        <v>66</v>
      </c>
      <c r="E113" s="37" t="s">
        <v>148</v>
      </c>
      <c r="F113" s="37" t="s">
        <v>17</v>
      </c>
      <c r="G113" s="38">
        <f>71940</f>
        <v>71940</v>
      </c>
      <c r="H113" s="38"/>
    </row>
    <row r="114" spans="1:9" s="35" customFormat="1" ht="47.25" outlineLevel="4">
      <c r="A114" s="32" t="s">
        <v>618</v>
      </c>
      <c r="B114" s="33" t="s">
        <v>710</v>
      </c>
      <c r="C114" s="33" t="s">
        <v>2</v>
      </c>
      <c r="D114" s="33" t="s">
        <v>66</v>
      </c>
      <c r="E114" s="33" t="s">
        <v>80</v>
      </c>
      <c r="F114" s="33" t="s">
        <v>1</v>
      </c>
      <c r="G114" s="34">
        <f>G115</f>
        <v>385000</v>
      </c>
      <c r="H114" s="34"/>
      <c r="I114" s="106"/>
    </row>
    <row r="115" spans="1:8" ht="126" outlineLevel="5">
      <c r="A115" s="36" t="s">
        <v>731</v>
      </c>
      <c r="B115" s="37" t="s">
        <v>710</v>
      </c>
      <c r="C115" s="37" t="s">
        <v>2</v>
      </c>
      <c r="D115" s="37" t="s">
        <v>66</v>
      </c>
      <c r="E115" s="37" t="s">
        <v>81</v>
      </c>
      <c r="F115" s="37" t="s">
        <v>1</v>
      </c>
      <c r="G115" s="38">
        <f>G116</f>
        <v>385000</v>
      </c>
      <c r="H115" s="38"/>
    </row>
    <row r="116" spans="1:8" ht="31.5" outlineLevel="6">
      <c r="A116" s="36" t="s">
        <v>441</v>
      </c>
      <c r="B116" s="37" t="s">
        <v>710</v>
      </c>
      <c r="C116" s="37" t="s">
        <v>2</v>
      </c>
      <c r="D116" s="37" t="s">
        <v>66</v>
      </c>
      <c r="E116" s="37" t="s">
        <v>82</v>
      </c>
      <c r="F116" s="37" t="s">
        <v>1</v>
      </c>
      <c r="G116" s="38">
        <f>G117</f>
        <v>385000</v>
      </c>
      <c r="H116" s="38"/>
    </row>
    <row r="117" spans="1:8" ht="31.5" outlineLevel="7">
      <c r="A117" s="36" t="s">
        <v>689</v>
      </c>
      <c r="B117" s="37" t="s">
        <v>710</v>
      </c>
      <c r="C117" s="37" t="s">
        <v>2</v>
      </c>
      <c r="D117" s="37" t="s">
        <v>66</v>
      </c>
      <c r="E117" s="37" t="s">
        <v>82</v>
      </c>
      <c r="F117" s="37" t="s">
        <v>17</v>
      </c>
      <c r="G117" s="38">
        <f>200000+170000-123250+138250</f>
        <v>385000</v>
      </c>
      <c r="H117" s="38"/>
    </row>
    <row r="118" spans="1:9" s="35" customFormat="1" ht="63" hidden="1" outlineLevel="4">
      <c r="A118" s="32" t="s">
        <v>619</v>
      </c>
      <c r="B118" s="33" t="s">
        <v>710</v>
      </c>
      <c r="C118" s="33" t="s">
        <v>2</v>
      </c>
      <c r="D118" s="33" t="s">
        <v>66</v>
      </c>
      <c r="E118" s="33" t="s">
        <v>83</v>
      </c>
      <c r="F118" s="33" t="s">
        <v>1</v>
      </c>
      <c r="G118" s="34">
        <f>G119</f>
        <v>0</v>
      </c>
      <c r="H118" s="34"/>
      <c r="I118" s="106"/>
    </row>
    <row r="119" spans="1:8" ht="63" hidden="1" outlineLevel="5">
      <c r="A119" s="36" t="s">
        <v>732</v>
      </c>
      <c r="B119" s="37" t="s">
        <v>710</v>
      </c>
      <c r="C119" s="37" t="s">
        <v>2</v>
      </c>
      <c r="D119" s="37" t="s">
        <v>66</v>
      </c>
      <c r="E119" s="37" t="s">
        <v>88</v>
      </c>
      <c r="F119" s="37" t="s">
        <v>1</v>
      </c>
      <c r="G119" s="38">
        <f>G120</f>
        <v>0</v>
      </c>
      <c r="H119" s="38"/>
    </row>
    <row r="120" spans="1:8" ht="31.5" hidden="1" outlineLevel="6">
      <c r="A120" s="36" t="s">
        <v>441</v>
      </c>
      <c r="B120" s="37" t="s">
        <v>710</v>
      </c>
      <c r="C120" s="37" t="s">
        <v>2</v>
      </c>
      <c r="D120" s="37" t="s">
        <v>66</v>
      </c>
      <c r="E120" s="37" t="s">
        <v>89</v>
      </c>
      <c r="F120" s="37" t="s">
        <v>1</v>
      </c>
      <c r="G120" s="38">
        <f>G121</f>
        <v>0</v>
      </c>
      <c r="H120" s="38"/>
    </row>
    <row r="121" spans="1:8" ht="15.75" hidden="1" outlineLevel="7">
      <c r="A121" s="36" t="s">
        <v>691</v>
      </c>
      <c r="B121" s="37" t="s">
        <v>710</v>
      </c>
      <c r="C121" s="37" t="s">
        <v>2</v>
      </c>
      <c r="D121" s="37" t="s">
        <v>66</v>
      </c>
      <c r="E121" s="37" t="s">
        <v>89</v>
      </c>
      <c r="F121" s="37" t="s">
        <v>65</v>
      </c>
      <c r="G121" s="38">
        <f>47500-47500</f>
        <v>0</v>
      </c>
      <c r="H121" s="38"/>
    </row>
    <row r="122" spans="1:9" s="35" customFormat="1" ht="47.25" outlineLevel="3" collapsed="1">
      <c r="A122" s="32" t="s">
        <v>655</v>
      </c>
      <c r="B122" s="33" t="s">
        <v>710</v>
      </c>
      <c r="C122" s="33" t="s">
        <v>2</v>
      </c>
      <c r="D122" s="33" t="s">
        <v>66</v>
      </c>
      <c r="E122" s="33" t="s">
        <v>90</v>
      </c>
      <c r="F122" s="33" t="s">
        <v>1</v>
      </c>
      <c r="G122" s="34">
        <f>G123+G144</f>
        <v>24638225.69</v>
      </c>
      <c r="H122" s="34">
        <f>H123</f>
        <v>13042</v>
      </c>
      <c r="I122" s="106"/>
    </row>
    <row r="123" spans="1:9" s="35" customFormat="1" ht="47.25" outlineLevel="4">
      <c r="A123" s="32" t="s">
        <v>620</v>
      </c>
      <c r="B123" s="33" t="s">
        <v>710</v>
      </c>
      <c r="C123" s="33" t="s">
        <v>2</v>
      </c>
      <c r="D123" s="33" t="s">
        <v>66</v>
      </c>
      <c r="E123" s="33" t="s">
        <v>91</v>
      </c>
      <c r="F123" s="33" t="s">
        <v>1</v>
      </c>
      <c r="G123" s="34">
        <f>G124+G131+G134+G138+G141</f>
        <v>3572096.6900000004</v>
      </c>
      <c r="H123" s="34">
        <f>H124</f>
        <v>13042</v>
      </c>
      <c r="I123" s="106"/>
    </row>
    <row r="124" spans="1:8" ht="47.25" outlineLevel="5">
      <c r="A124" s="36" t="s">
        <v>726</v>
      </c>
      <c r="B124" s="37" t="s">
        <v>710</v>
      </c>
      <c r="C124" s="37" t="s">
        <v>2</v>
      </c>
      <c r="D124" s="37" t="s">
        <v>66</v>
      </c>
      <c r="E124" s="37" t="s">
        <v>94</v>
      </c>
      <c r="F124" s="37" t="s">
        <v>1</v>
      </c>
      <c r="G124" s="38">
        <f>G125+G127+G129</f>
        <v>479072.3400000001</v>
      </c>
      <c r="H124" s="38">
        <f>H127</f>
        <v>13042</v>
      </c>
    </row>
    <row r="125" spans="1:8" ht="31.5" outlineLevel="6">
      <c r="A125" s="36" t="s">
        <v>441</v>
      </c>
      <c r="B125" s="37" t="s">
        <v>710</v>
      </c>
      <c r="C125" s="37" t="s">
        <v>2</v>
      </c>
      <c r="D125" s="37" t="s">
        <v>66</v>
      </c>
      <c r="E125" s="37" t="s">
        <v>95</v>
      </c>
      <c r="F125" s="37" t="s">
        <v>1</v>
      </c>
      <c r="G125" s="38">
        <f>G126</f>
        <v>465344.56000000006</v>
      </c>
      <c r="H125" s="38"/>
    </row>
    <row r="126" spans="1:8" ht="31.5" outlineLevel="7">
      <c r="A126" s="36" t="s">
        <v>689</v>
      </c>
      <c r="B126" s="37" t="s">
        <v>710</v>
      </c>
      <c r="C126" s="37" t="s">
        <v>2</v>
      </c>
      <c r="D126" s="37" t="s">
        <v>66</v>
      </c>
      <c r="E126" s="37" t="s">
        <v>95</v>
      </c>
      <c r="F126" s="37" t="s">
        <v>17</v>
      </c>
      <c r="G126" s="38">
        <f>595464.56-50000-80120</f>
        <v>465344.56000000006</v>
      </c>
      <c r="H126" s="38"/>
    </row>
    <row r="127" spans="1:8" ht="63" outlineLevel="6">
      <c r="A127" s="36" t="s">
        <v>442</v>
      </c>
      <c r="B127" s="37" t="s">
        <v>710</v>
      </c>
      <c r="C127" s="37" t="s">
        <v>2</v>
      </c>
      <c r="D127" s="37" t="s">
        <v>66</v>
      </c>
      <c r="E127" s="37" t="s">
        <v>96</v>
      </c>
      <c r="F127" s="37" t="s">
        <v>1</v>
      </c>
      <c r="G127" s="38">
        <f>G128</f>
        <v>13042</v>
      </c>
      <c r="H127" s="38">
        <f>H128</f>
        <v>13042</v>
      </c>
    </row>
    <row r="128" spans="1:8" ht="31.5" outlineLevel="7">
      <c r="A128" s="36" t="s">
        <v>689</v>
      </c>
      <c r="B128" s="37" t="s">
        <v>710</v>
      </c>
      <c r="C128" s="37" t="s">
        <v>2</v>
      </c>
      <c r="D128" s="37" t="s">
        <v>66</v>
      </c>
      <c r="E128" s="37" t="s">
        <v>96</v>
      </c>
      <c r="F128" s="37" t="s">
        <v>17</v>
      </c>
      <c r="G128" s="38">
        <v>13042</v>
      </c>
      <c r="H128" s="38">
        <f>G128</f>
        <v>13042</v>
      </c>
    </row>
    <row r="129" spans="1:8" ht="63" outlineLevel="6">
      <c r="A129" s="36" t="s">
        <v>442</v>
      </c>
      <c r="B129" s="37" t="s">
        <v>710</v>
      </c>
      <c r="C129" s="37" t="s">
        <v>2</v>
      </c>
      <c r="D129" s="37" t="s">
        <v>66</v>
      </c>
      <c r="E129" s="37" t="s">
        <v>97</v>
      </c>
      <c r="F129" s="37" t="s">
        <v>1</v>
      </c>
      <c r="G129" s="38">
        <f>G130</f>
        <v>685.78</v>
      </c>
      <c r="H129" s="38"/>
    </row>
    <row r="130" spans="1:8" ht="31.5" outlineLevel="7">
      <c r="A130" s="36" t="s">
        <v>689</v>
      </c>
      <c r="B130" s="37" t="s">
        <v>710</v>
      </c>
      <c r="C130" s="37" t="s">
        <v>2</v>
      </c>
      <c r="D130" s="37" t="s">
        <v>66</v>
      </c>
      <c r="E130" s="37" t="s">
        <v>97</v>
      </c>
      <c r="F130" s="37" t="s">
        <v>17</v>
      </c>
      <c r="G130" s="38">
        <f>1650-964.22</f>
        <v>685.78</v>
      </c>
      <c r="H130" s="38"/>
    </row>
    <row r="131" spans="1:8" ht="47.25" outlineLevel="5">
      <c r="A131" s="36" t="s">
        <v>733</v>
      </c>
      <c r="B131" s="37" t="s">
        <v>710</v>
      </c>
      <c r="C131" s="37" t="s">
        <v>2</v>
      </c>
      <c r="D131" s="37" t="s">
        <v>66</v>
      </c>
      <c r="E131" s="37" t="s">
        <v>98</v>
      </c>
      <c r="F131" s="37" t="s">
        <v>1</v>
      </c>
      <c r="G131" s="38">
        <f>G132</f>
        <v>5000</v>
      </c>
      <c r="H131" s="38"/>
    </row>
    <row r="132" spans="1:8" ht="31.5" outlineLevel="6">
      <c r="A132" s="36" t="s">
        <v>441</v>
      </c>
      <c r="B132" s="37" t="s">
        <v>710</v>
      </c>
      <c r="C132" s="37" t="s">
        <v>2</v>
      </c>
      <c r="D132" s="37" t="s">
        <v>66</v>
      </c>
      <c r="E132" s="37" t="s">
        <v>99</v>
      </c>
      <c r="F132" s="37" t="s">
        <v>1</v>
      </c>
      <c r="G132" s="38">
        <f>G133</f>
        <v>5000</v>
      </c>
      <c r="H132" s="38"/>
    </row>
    <row r="133" spans="1:8" ht="31.5" outlineLevel="7">
      <c r="A133" s="36" t="s">
        <v>689</v>
      </c>
      <c r="B133" s="37" t="s">
        <v>710</v>
      </c>
      <c r="C133" s="37" t="s">
        <v>2</v>
      </c>
      <c r="D133" s="37" t="s">
        <v>66</v>
      </c>
      <c r="E133" s="37" t="s">
        <v>99</v>
      </c>
      <c r="F133" s="37" t="s">
        <v>17</v>
      </c>
      <c r="G133" s="38">
        <f>14000-9000</f>
        <v>5000</v>
      </c>
      <c r="H133" s="38"/>
    </row>
    <row r="134" spans="1:8" ht="31.5" outlineLevel="5">
      <c r="A134" s="36" t="s">
        <v>734</v>
      </c>
      <c r="B134" s="37" t="s">
        <v>710</v>
      </c>
      <c r="C134" s="37" t="s">
        <v>2</v>
      </c>
      <c r="D134" s="37" t="s">
        <v>66</v>
      </c>
      <c r="E134" s="37" t="s">
        <v>100</v>
      </c>
      <c r="F134" s="37" t="s">
        <v>1</v>
      </c>
      <c r="G134" s="38">
        <f>G135</f>
        <v>2630974.35</v>
      </c>
      <c r="H134" s="38"/>
    </row>
    <row r="135" spans="1:8" ht="31.5" outlineLevel="6">
      <c r="A135" s="36" t="s">
        <v>441</v>
      </c>
      <c r="B135" s="37" t="s">
        <v>710</v>
      </c>
      <c r="C135" s="37" t="s">
        <v>2</v>
      </c>
      <c r="D135" s="37" t="s">
        <v>66</v>
      </c>
      <c r="E135" s="37" t="s">
        <v>101</v>
      </c>
      <c r="F135" s="37" t="s">
        <v>1</v>
      </c>
      <c r="G135" s="38">
        <f>G136+G137</f>
        <v>2630974.35</v>
      </c>
      <c r="H135" s="38"/>
    </row>
    <row r="136" spans="1:8" ht="31.5" outlineLevel="7">
      <c r="A136" s="36" t="s">
        <v>689</v>
      </c>
      <c r="B136" s="37" t="s">
        <v>710</v>
      </c>
      <c r="C136" s="37" t="s">
        <v>2</v>
      </c>
      <c r="D136" s="37" t="s">
        <v>66</v>
      </c>
      <c r="E136" s="37" t="s">
        <v>101</v>
      </c>
      <c r="F136" s="37" t="s">
        <v>17</v>
      </c>
      <c r="G136" s="38">
        <f>285992.32+37570.18-23139.43</f>
        <v>300423.07</v>
      </c>
      <c r="H136" s="38"/>
    </row>
    <row r="137" spans="1:8" ht="47.25" outlineLevel="7">
      <c r="A137" s="36" t="s">
        <v>692</v>
      </c>
      <c r="B137" s="37" t="s">
        <v>710</v>
      </c>
      <c r="C137" s="37" t="s">
        <v>2</v>
      </c>
      <c r="D137" s="37" t="s">
        <v>66</v>
      </c>
      <c r="E137" s="37" t="s">
        <v>101</v>
      </c>
      <c r="F137" s="37" t="s">
        <v>70</v>
      </c>
      <c r="G137" s="38">
        <f>776551.28+426480+1127520</f>
        <v>2330551.2800000003</v>
      </c>
      <c r="H137" s="38"/>
    </row>
    <row r="138" spans="1:8" ht="15.75" outlineLevel="5">
      <c r="A138" s="36" t="s">
        <v>735</v>
      </c>
      <c r="B138" s="37" t="s">
        <v>710</v>
      </c>
      <c r="C138" s="37" t="s">
        <v>2</v>
      </c>
      <c r="D138" s="37" t="s">
        <v>66</v>
      </c>
      <c r="E138" s="37" t="s">
        <v>102</v>
      </c>
      <c r="F138" s="37" t="s">
        <v>1</v>
      </c>
      <c r="G138" s="38">
        <f>G139</f>
        <v>2390</v>
      </c>
      <c r="H138" s="38"/>
    </row>
    <row r="139" spans="1:8" ht="31.5" outlineLevel="6">
      <c r="A139" s="36" t="s">
        <v>441</v>
      </c>
      <c r="B139" s="37" t="s">
        <v>710</v>
      </c>
      <c r="C139" s="37" t="s">
        <v>2</v>
      </c>
      <c r="D139" s="37" t="s">
        <v>66</v>
      </c>
      <c r="E139" s="37" t="s">
        <v>103</v>
      </c>
      <c r="F139" s="37" t="s">
        <v>1</v>
      </c>
      <c r="G139" s="38">
        <f>G140</f>
        <v>2390</v>
      </c>
      <c r="H139" s="38"/>
    </row>
    <row r="140" spans="1:8" ht="31.5" outlineLevel="7">
      <c r="A140" s="36" t="s">
        <v>689</v>
      </c>
      <c r="B140" s="37" t="s">
        <v>710</v>
      </c>
      <c r="C140" s="37" t="s">
        <v>2</v>
      </c>
      <c r="D140" s="37" t="s">
        <v>66</v>
      </c>
      <c r="E140" s="37" t="s">
        <v>103</v>
      </c>
      <c r="F140" s="37" t="s">
        <v>17</v>
      </c>
      <c r="G140" s="38">
        <v>2390</v>
      </c>
      <c r="H140" s="38"/>
    </row>
    <row r="141" spans="1:8" ht="31.5" outlineLevel="5">
      <c r="A141" s="36" t="s">
        <v>736</v>
      </c>
      <c r="B141" s="37" t="s">
        <v>710</v>
      </c>
      <c r="C141" s="37" t="s">
        <v>2</v>
      </c>
      <c r="D141" s="37" t="s">
        <v>66</v>
      </c>
      <c r="E141" s="37" t="s">
        <v>104</v>
      </c>
      <c r="F141" s="37" t="s">
        <v>1</v>
      </c>
      <c r="G141" s="38">
        <f>G142</f>
        <v>454660</v>
      </c>
      <c r="H141" s="38"/>
    </row>
    <row r="142" spans="1:8" ht="31.5" outlineLevel="6">
      <c r="A142" s="36" t="s">
        <v>441</v>
      </c>
      <c r="B142" s="37" t="s">
        <v>710</v>
      </c>
      <c r="C142" s="37" t="s">
        <v>2</v>
      </c>
      <c r="D142" s="37" t="s">
        <v>66</v>
      </c>
      <c r="E142" s="37" t="s">
        <v>105</v>
      </c>
      <c r="F142" s="37" t="s">
        <v>1</v>
      </c>
      <c r="G142" s="38">
        <f>G143</f>
        <v>454660</v>
      </c>
      <c r="H142" s="38"/>
    </row>
    <row r="143" spans="1:8" ht="31.5" outlineLevel="7">
      <c r="A143" s="36" t="s">
        <v>689</v>
      </c>
      <c r="B143" s="37" t="s">
        <v>710</v>
      </c>
      <c r="C143" s="37" t="s">
        <v>2</v>
      </c>
      <c r="D143" s="37" t="s">
        <v>66</v>
      </c>
      <c r="E143" s="37" t="s">
        <v>105</v>
      </c>
      <c r="F143" s="37" t="s">
        <v>17</v>
      </c>
      <c r="G143" s="38">
        <f>360000+98860-4200</f>
        <v>454660</v>
      </c>
      <c r="H143" s="38"/>
    </row>
    <row r="144" spans="1:9" s="35" customFormat="1" ht="63" outlineLevel="4">
      <c r="A144" s="32" t="s">
        <v>621</v>
      </c>
      <c r="B144" s="33" t="s">
        <v>710</v>
      </c>
      <c r="C144" s="33" t="s">
        <v>2</v>
      </c>
      <c r="D144" s="33" t="s">
        <v>66</v>
      </c>
      <c r="E144" s="33" t="s">
        <v>106</v>
      </c>
      <c r="F144" s="33" t="s">
        <v>1</v>
      </c>
      <c r="G144" s="34">
        <f>G145</f>
        <v>21066129</v>
      </c>
      <c r="H144" s="34"/>
      <c r="I144" s="106"/>
    </row>
    <row r="145" spans="1:8" ht="47.25" outlineLevel="5">
      <c r="A145" s="36" t="s">
        <v>737</v>
      </c>
      <c r="B145" s="37" t="s">
        <v>710</v>
      </c>
      <c r="C145" s="37" t="s">
        <v>2</v>
      </c>
      <c r="D145" s="37" t="s">
        <v>66</v>
      </c>
      <c r="E145" s="37" t="s">
        <v>107</v>
      </c>
      <c r="F145" s="37" t="s">
        <v>1</v>
      </c>
      <c r="G145" s="38">
        <f>G146+G148</f>
        <v>21066129</v>
      </c>
      <c r="H145" s="38"/>
    </row>
    <row r="146" spans="1:8" ht="78.75" outlineLevel="6">
      <c r="A146" s="36" t="s">
        <v>443</v>
      </c>
      <c r="B146" s="37" t="s">
        <v>710</v>
      </c>
      <c r="C146" s="37" t="s">
        <v>2</v>
      </c>
      <c r="D146" s="37" t="s">
        <v>66</v>
      </c>
      <c r="E146" s="37" t="s">
        <v>108</v>
      </c>
      <c r="F146" s="37" t="s">
        <v>1</v>
      </c>
      <c r="G146" s="38">
        <f>G147</f>
        <v>20627809</v>
      </c>
      <c r="H146" s="38"/>
    </row>
    <row r="147" spans="1:8" ht="47.25" outlineLevel="7">
      <c r="A147" s="36" t="s">
        <v>692</v>
      </c>
      <c r="B147" s="37" t="s">
        <v>710</v>
      </c>
      <c r="C147" s="37" t="s">
        <v>2</v>
      </c>
      <c r="D147" s="37" t="s">
        <v>66</v>
      </c>
      <c r="E147" s="37" t="s">
        <v>108</v>
      </c>
      <c r="F147" s="37" t="s">
        <v>70</v>
      </c>
      <c r="G147" s="38">
        <v>20627809</v>
      </c>
      <c r="H147" s="38"/>
    </row>
    <row r="148" spans="1:8" ht="78.75" outlineLevel="6">
      <c r="A148" s="36" t="s">
        <v>432</v>
      </c>
      <c r="B148" s="37" t="s">
        <v>710</v>
      </c>
      <c r="C148" s="37" t="s">
        <v>2</v>
      </c>
      <c r="D148" s="37" t="s">
        <v>66</v>
      </c>
      <c r="E148" s="37" t="s">
        <v>109</v>
      </c>
      <c r="F148" s="37" t="s">
        <v>1</v>
      </c>
      <c r="G148" s="38">
        <f>G149</f>
        <v>438320</v>
      </c>
      <c r="H148" s="38"/>
    </row>
    <row r="149" spans="1:8" ht="47.25" outlineLevel="7">
      <c r="A149" s="36" t="s">
        <v>692</v>
      </c>
      <c r="B149" s="37" t="s">
        <v>710</v>
      </c>
      <c r="C149" s="37" t="s">
        <v>2</v>
      </c>
      <c r="D149" s="37" t="s">
        <v>66</v>
      </c>
      <c r="E149" s="37" t="s">
        <v>109</v>
      </c>
      <c r="F149" s="37" t="s">
        <v>70</v>
      </c>
      <c r="G149" s="38">
        <v>438320</v>
      </c>
      <c r="H149" s="38"/>
    </row>
    <row r="150" spans="1:9" s="35" customFormat="1" ht="63" outlineLevel="3">
      <c r="A150" s="32" t="s">
        <v>652</v>
      </c>
      <c r="B150" s="33" t="s">
        <v>710</v>
      </c>
      <c r="C150" s="33" t="s">
        <v>2</v>
      </c>
      <c r="D150" s="33" t="s">
        <v>66</v>
      </c>
      <c r="E150" s="33" t="s">
        <v>6</v>
      </c>
      <c r="F150" s="33" t="s">
        <v>1</v>
      </c>
      <c r="G150" s="34">
        <f>G151+G158+G165</f>
        <v>41929590.23</v>
      </c>
      <c r="H150" s="34">
        <f>H151</f>
        <v>771000</v>
      </c>
      <c r="I150" s="106"/>
    </row>
    <row r="151" spans="1:9" s="35" customFormat="1" ht="31.5" outlineLevel="4">
      <c r="A151" s="32" t="s">
        <v>612</v>
      </c>
      <c r="B151" s="33" t="s">
        <v>710</v>
      </c>
      <c r="C151" s="33" t="s">
        <v>2</v>
      </c>
      <c r="D151" s="33" t="s">
        <v>66</v>
      </c>
      <c r="E151" s="33" t="s">
        <v>43</v>
      </c>
      <c r="F151" s="33" t="s">
        <v>1</v>
      </c>
      <c r="G151" s="34">
        <f>G152</f>
        <v>771000</v>
      </c>
      <c r="H151" s="34">
        <f>H152</f>
        <v>771000</v>
      </c>
      <c r="I151" s="106"/>
    </row>
    <row r="152" spans="1:8" ht="31.5" outlineLevel="5">
      <c r="A152" s="36" t="s">
        <v>738</v>
      </c>
      <c r="B152" s="37" t="s">
        <v>710</v>
      </c>
      <c r="C152" s="37" t="s">
        <v>2</v>
      </c>
      <c r="D152" s="37" t="s">
        <v>66</v>
      </c>
      <c r="E152" s="37" t="s">
        <v>110</v>
      </c>
      <c r="F152" s="37" t="s">
        <v>1</v>
      </c>
      <c r="G152" s="38">
        <f>G153+G155</f>
        <v>771000</v>
      </c>
      <c r="H152" s="38">
        <f>H153+H155</f>
        <v>771000</v>
      </c>
    </row>
    <row r="153" spans="1:8" ht="126" outlineLevel="6">
      <c r="A153" s="36" t="s">
        <v>444</v>
      </c>
      <c r="B153" s="37" t="s">
        <v>710</v>
      </c>
      <c r="C153" s="37" t="s">
        <v>2</v>
      </c>
      <c r="D153" s="37" t="s">
        <v>66</v>
      </c>
      <c r="E153" s="37" t="s">
        <v>111</v>
      </c>
      <c r="F153" s="37" t="s">
        <v>1</v>
      </c>
      <c r="G153" s="38">
        <f>G154</f>
        <v>6000</v>
      </c>
      <c r="H153" s="38">
        <f>H154</f>
        <v>6000</v>
      </c>
    </row>
    <row r="154" spans="1:8" ht="31.5" outlineLevel="7">
      <c r="A154" s="36" t="s">
        <v>689</v>
      </c>
      <c r="B154" s="37" t="s">
        <v>710</v>
      </c>
      <c r="C154" s="37" t="s">
        <v>2</v>
      </c>
      <c r="D154" s="37" t="s">
        <v>66</v>
      </c>
      <c r="E154" s="37" t="s">
        <v>111</v>
      </c>
      <c r="F154" s="37" t="s">
        <v>17</v>
      </c>
      <c r="G154" s="38">
        <v>6000</v>
      </c>
      <c r="H154" s="38">
        <f>G154</f>
        <v>6000</v>
      </c>
    </row>
    <row r="155" spans="1:8" ht="31.5" outlineLevel="6">
      <c r="A155" s="36" t="s">
        <v>445</v>
      </c>
      <c r="B155" s="37" t="s">
        <v>710</v>
      </c>
      <c r="C155" s="37" t="s">
        <v>2</v>
      </c>
      <c r="D155" s="37" t="s">
        <v>66</v>
      </c>
      <c r="E155" s="37" t="s">
        <v>112</v>
      </c>
      <c r="F155" s="37" t="s">
        <v>1</v>
      </c>
      <c r="G155" s="38">
        <f>G156+G157</f>
        <v>765000</v>
      </c>
      <c r="H155" s="38">
        <f>H156+H157</f>
        <v>765000</v>
      </c>
    </row>
    <row r="156" spans="1:8" ht="94.5" outlineLevel="7">
      <c r="A156" s="36" t="s">
        <v>704</v>
      </c>
      <c r="B156" s="37" t="s">
        <v>710</v>
      </c>
      <c r="C156" s="37" t="s">
        <v>2</v>
      </c>
      <c r="D156" s="37" t="s">
        <v>66</v>
      </c>
      <c r="E156" s="37" t="s">
        <v>112</v>
      </c>
      <c r="F156" s="37" t="s">
        <v>10</v>
      </c>
      <c r="G156" s="38">
        <v>698220.45</v>
      </c>
      <c r="H156" s="38">
        <f>G156</f>
        <v>698220.45</v>
      </c>
    </row>
    <row r="157" spans="1:8" ht="31.5" outlineLevel="7">
      <c r="A157" s="36" t="s">
        <v>689</v>
      </c>
      <c r="B157" s="37" t="s">
        <v>710</v>
      </c>
      <c r="C157" s="37" t="s">
        <v>2</v>
      </c>
      <c r="D157" s="37" t="s">
        <v>66</v>
      </c>
      <c r="E157" s="37" t="s">
        <v>112</v>
      </c>
      <c r="F157" s="37" t="s">
        <v>17</v>
      </c>
      <c r="G157" s="38">
        <v>66779.55</v>
      </c>
      <c r="H157" s="38">
        <f>G157</f>
        <v>66779.55</v>
      </c>
    </row>
    <row r="158" spans="1:9" s="35" customFormat="1" ht="31.5" outlineLevel="4">
      <c r="A158" s="32" t="s">
        <v>622</v>
      </c>
      <c r="B158" s="33" t="s">
        <v>710</v>
      </c>
      <c r="C158" s="33" t="s">
        <v>2</v>
      </c>
      <c r="D158" s="33" t="s">
        <v>66</v>
      </c>
      <c r="E158" s="33" t="s">
        <v>115</v>
      </c>
      <c r="F158" s="33" t="s">
        <v>1</v>
      </c>
      <c r="G158" s="34">
        <f>G159</f>
        <v>8050035.49</v>
      </c>
      <c r="H158" s="38"/>
      <c r="I158" s="106"/>
    </row>
    <row r="159" spans="1:8" ht="31.5" outlineLevel="5">
      <c r="A159" s="36" t="s">
        <v>739</v>
      </c>
      <c r="B159" s="37" t="s">
        <v>710</v>
      </c>
      <c r="C159" s="37" t="s">
        <v>2</v>
      </c>
      <c r="D159" s="37" t="s">
        <v>66</v>
      </c>
      <c r="E159" s="37" t="s">
        <v>116</v>
      </c>
      <c r="F159" s="37" t="s">
        <v>1</v>
      </c>
      <c r="G159" s="38">
        <f>G160+G163</f>
        <v>8050035.49</v>
      </c>
      <c r="H159" s="38"/>
    </row>
    <row r="160" spans="1:8" ht="78.75" outlineLevel="6">
      <c r="A160" s="36" t="s">
        <v>443</v>
      </c>
      <c r="B160" s="37" t="s">
        <v>710</v>
      </c>
      <c r="C160" s="37" t="s">
        <v>2</v>
      </c>
      <c r="D160" s="37" t="s">
        <v>66</v>
      </c>
      <c r="E160" s="37" t="s">
        <v>117</v>
      </c>
      <c r="F160" s="37" t="s">
        <v>1</v>
      </c>
      <c r="G160" s="38">
        <f>G161+G162</f>
        <v>7874399.69</v>
      </c>
      <c r="H160" s="38"/>
    </row>
    <row r="161" spans="1:8" ht="94.5" outlineLevel="7">
      <c r="A161" s="36" t="s">
        <v>704</v>
      </c>
      <c r="B161" s="37" t="s">
        <v>710</v>
      </c>
      <c r="C161" s="37" t="s">
        <v>2</v>
      </c>
      <c r="D161" s="37" t="s">
        <v>66</v>
      </c>
      <c r="E161" s="37" t="s">
        <v>117</v>
      </c>
      <c r="F161" s="37" t="s">
        <v>10</v>
      </c>
      <c r="G161" s="38">
        <f>6312377.99-17700.8</f>
        <v>6294677.19</v>
      </c>
      <c r="H161" s="38"/>
    </row>
    <row r="162" spans="1:8" ht="31.5" outlineLevel="7">
      <c r="A162" s="36" t="s">
        <v>689</v>
      </c>
      <c r="B162" s="37" t="s">
        <v>710</v>
      </c>
      <c r="C162" s="37" t="s">
        <v>2</v>
      </c>
      <c r="D162" s="37" t="s">
        <v>66</v>
      </c>
      <c r="E162" s="37" t="s">
        <v>117</v>
      </c>
      <c r="F162" s="37" t="s">
        <v>17</v>
      </c>
      <c r="G162" s="38">
        <f>1595270.5-15548</f>
        <v>1579722.5</v>
      </c>
      <c r="H162" s="38"/>
    </row>
    <row r="163" spans="1:8" ht="78.75" outlineLevel="6">
      <c r="A163" s="36" t="s">
        <v>432</v>
      </c>
      <c r="B163" s="37" t="s">
        <v>710</v>
      </c>
      <c r="C163" s="37" t="s">
        <v>2</v>
      </c>
      <c r="D163" s="37" t="s">
        <v>66</v>
      </c>
      <c r="E163" s="37" t="s">
        <v>118</v>
      </c>
      <c r="F163" s="37" t="s">
        <v>1</v>
      </c>
      <c r="G163" s="38">
        <f>G164</f>
        <v>175635.8</v>
      </c>
      <c r="H163" s="38"/>
    </row>
    <row r="164" spans="1:8" ht="94.5" outlineLevel="7">
      <c r="A164" s="36" t="s">
        <v>704</v>
      </c>
      <c r="B164" s="37" t="s">
        <v>710</v>
      </c>
      <c r="C164" s="37" t="s">
        <v>2</v>
      </c>
      <c r="D164" s="37" t="s">
        <v>66</v>
      </c>
      <c r="E164" s="37" t="s">
        <v>118</v>
      </c>
      <c r="F164" s="37" t="s">
        <v>10</v>
      </c>
      <c r="G164" s="38">
        <f>142387+33248.8</f>
        <v>175635.8</v>
      </c>
      <c r="H164" s="38"/>
    </row>
    <row r="165" spans="1:9" s="35" customFormat="1" ht="47.25" outlineLevel="4">
      <c r="A165" s="32" t="s">
        <v>624</v>
      </c>
      <c r="B165" s="33" t="s">
        <v>710</v>
      </c>
      <c r="C165" s="33" t="s">
        <v>2</v>
      </c>
      <c r="D165" s="33" t="s">
        <v>66</v>
      </c>
      <c r="E165" s="33" t="s">
        <v>131</v>
      </c>
      <c r="F165" s="33" t="s">
        <v>1</v>
      </c>
      <c r="G165" s="34">
        <f>G166+G173+G180</f>
        <v>33108554.739999995</v>
      </c>
      <c r="H165" s="34"/>
      <c r="I165" s="106"/>
    </row>
    <row r="166" spans="1:8" ht="31.5" outlineLevel="5">
      <c r="A166" s="36" t="s">
        <v>740</v>
      </c>
      <c r="B166" s="37" t="s">
        <v>710</v>
      </c>
      <c r="C166" s="37" t="s">
        <v>2</v>
      </c>
      <c r="D166" s="37" t="s">
        <v>66</v>
      </c>
      <c r="E166" s="37" t="s">
        <v>132</v>
      </c>
      <c r="F166" s="37" t="s">
        <v>1</v>
      </c>
      <c r="G166" s="38">
        <f>G167+G171</f>
        <v>9811553.35</v>
      </c>
      <c r="H166" s="38"/>
    </row>
    <row r="167" spans="1:8" ht="78.75" outlineLevel="6">
      <c r="A167" s="36" t="s">
        <v>443</v>
      </c>
      <c r="B167" s="37" t="s">
        <v>710</v>
      </c>
      <c r="C167" s="37" t="s">
        <v>2</v>
      </c>
      <c r="D167" s="37" t="s">
        <v>66</v>
      </c>
      <c r="E167" s="37" t="s">
        <v>133</v>
      </c>
      <c r="F167" s="37" t="s">
        <v>1</v>
      </c>
      <c r="G167" s="38">
        <f>G168+G169+G170</f>
        <v>9690632.03</v>
      </c>
      <c r="H167" s="38"/>
    </row>
    <row r="168" spans="1:8" ht="94.5" outlineLevel="7">
      <c r="A168" s="36" t="s">
        <v>704</v>
      </c>
      <c r="B168" s="37" t="s">
        <v>710</v>
      </c>
      <c r="C168" s="37" t="s">
        <v>2</v>
      </c>
      <c r="D168" s="37" t="s">
        <v>66</v>
      </c>
      <c r="E168" s="37" t="s">
        <v>133</v>
      </c>
      <c r="F168" s="37" t="s">
        <v>10</v>
      </c>
      <c r="G168" s="38">
        <v>7012313.76</v>
      </c>
      <c r="H168" s="38"/>
    </row>
    <row r="169" spans="1:8" ht="31.5" outlineLevel="7">
      <c r="A169" s="36" t="s">
        <v>689</v>
      </c>
      <c r="B169" s="37" t="s">
        <v>710</v>
      </c>
      <c r="C169" s="37" t="s">
        <v>2</v>
      </c>
      <c r="D169" s="37" t="s">
        <v>66</v>
      </c>
      <c r="E169" s="37" t="s">
        <v>133</v>
      </c>
      <c r="F169" s="37" t="s">
        <v>17</v>
      </c>
      <c r="G169" s="38">
        <f>2636908.64-94.67-2294.7</f>
        <v>2634519.27</v>
      </c>
      <c r="H169" s="38"/>
    </row>
    <row r="170" spans="1:8" ht="15.75" outlineLevel="7">
      <c r="A170" s="36" t="s">
        <v>691</v>
      </c>
      <c r="B170" s="37" t="s">
        <v>710</v>
      </c>
      <c r="C170" s="37" t="s">
        <v>2</v>
      </c>
      <c r="D170" s="37" t="s">
        <v>66</v>
      </c>
      <c r="E170" s="37" t="s">
        <v>133</v>
      </c>
      <c r="F170" s="37" t="s">
        <v>65</v>
      </c>
      <c r="G170" s="38">
        <v>43799</v>
      </c>
      <c r="H170" s="38"/>
    </row>
    <row r="171" spans="1:8" ht="78.75" outlineLevel="6">
      <c r="A171" s="36" t="s">
        <v>432</v>
      </c>
      <c r="B171" s="37" t="s">
        <v>710</v>
      </c>
      <c r="C171" s="37" t="s">
        <v>2</v>
      </c>
      <c r="D171" s="37" t="s">
        <v>66</v>
      </c>
      <c r="E171" s="37" t="s">
        <v>134</v>
      </c>
      <c r="F171" s="37" t="s">
        <v>1</v>
      </c>
      <c r="G171" s="38">
        <f>G172</f>
        <v>120921.32</v>
      </c>
      <c r="H171" s="38"/>
    </row>
    <row r="172" spans="1:8" ht="94.5" outlineLevel="7">
      <c r="A172" s="36" t="s">
        <v>704</v>
      </c>
      <c r="B172" s="37" t="s">
        <v>710</v>
      </c>
      <c r="C172" s="37" t="s">
        <v>2</v>
      </c>
      <c r="D172" s="37" t="s">
        <v>66</v>
      </c>
      <c r="E172" s="37" t="s">
        <v>134</v>
      </c>
      <c r="F172" s="37" t="s">
        <v>10</v>
      </c>
      <c r="G172" s="38">
        <f>82500+38421.32</f>
        <v>120921.32</v>
      </c>
      <c r="H172" s="38"/>
    </row>
    <row r="173" spans="1:8" ht="60" customHeight="1" outlineLevel="5">
      <c r="A173" s="36" t="s">
        <v>741</v>
      </c>
      <c r="B173" s="37" t="s">
        <v>710</v>
      </c>
      <c r="C173" s="37" t="s">
        <v>2</v>
      </c>
      <c r="D173" s="37" t="s">
        <v>66</v>
      </c>
      <c r="E173" s="37" t="s">
        <v>135</v>
      </c>
      <c r="F173" s="37" t="s">
        <v>1</v>
      </c>
      <c r="G173" s="38">
        <f>G174+G178</f>
        <v>21075189.24</v>
      </c>
      <c r="H173" s="38"/>
    </row>
    <row r="174" spans="1:8" ht="78.75" outlineLevel="6">
      <c r="A174" s="36" t="s">
        <v>443</v>
      </c>
      <c r="B174" s="37" t="s">
        <v>710</v>
      </c>
      <c r="C174" s="37" t="s">
        <v>2</v>
      </c>
      <c r="D174" s="37" t="s">
        <v>66</v>
      </c>
      <c r="E174" s="37" t="s">
        <v>136</v>
      </c>
      <c r="F174" s="37" t="s">
        <v>1</v>
      </c>
      <c r="G174" s="38">
        <f>G175+G176+G177</f>
        <v>20795599.18</v>
      </c>
      <c r="H174" s="38"/>
    </row>
    <row r="175" spans="1:8" ht="94.5" outlineLevel="7">
      <c r="A175" s="36" t="s">
        <v>704</v>
      </c>
      <c r="B175" s="37" t="s">
        <v>710</v>
      </c>
      <c r="C175" s="37" t="s">
        <v>2</v>
      </c>
      <c r="D175" s="37" t="s">
        <v>66</v>
      </c>
      <c r="E175" s="37" t="s">
        <v>136</v>
      </c>
      <c r="F175" s="37" t="s">
        <v>10</v>
      </c>
      <c r="G175" s="38">
        <f>11601322.55+6025+377144+113897</f>
        <v>12098388.55</v>
      </c>
      <c r="H175" s="38"/>
    </row>
    <row r="176" spans="1:8" ht="31.5" outlineLevel="7">
      <c r="A176" s="36" t="s">
        <v>689</v>
      </c>
      <c r="B176" s="37" t="s">
        <v>710</v>
      </c>
      <c r="C176" s="37" t="s">
        <v>2</v>
      </c>
      <c r="D176" s="37" t="s">
        <v>66</v>
      </c>
      <c r="E176" s="37" t="s">
        <v>136</v>
      </c>
      <c r="F176" s="37" t="s">
        <v>17</v>
      </c>
      <c r="G176" s="38">
        <f>8706362.96-6290-211400+191094.67-11210</f>
        <v>8668557.63</v>
      </c>
      <c r="H176" s="38"/>
    </row>
    <row r="177" spans="1:8" ht="15.75" outlineLevel="7">
      <c r="A177" s="36" t="s">
        <v>691</v>
      </c>
      <c r="B177" s="37" t="s">
        <v>710</v>
      </c>
      <c r="C177" s="37" t="s">
        <v>2</v>
      </c>
      <c r="D177" s="37" t="s">
        <v>66</v>
      </c>
      <c r="E177" s="37" t="s">
        <v>136</v>
      </c>
      <c r="F177" s="37" t="s">
        <v>65</v>
      </c>
      <c r="G177" s="38">
        <f>28388-5423+800+4888</f>
        <v>28653</v>
      </c>
      <c r="H177" s="38"/>
    </row>
    <row r="178" spans="1:8" ht="78.75" outlineLevel="6">
      <c r="A178" s="36" t="s">
        <v>432</v>
      </c>
      <c r="B178" s="37" t="s">
        <v>710</v>
      </c>
      <c r="C178" s="37" t="s">
        <v>2</v>
      </c>
      <c r="D178" s="37" t="s">
        <v>66</v>
      </c>
      <c r="E178" s="37" t="s">
        <v>137</v>
      </c>
      <c r="F178" s="37" t="s">
        <v>1</v>
      </c>
      <c r="G178" s="38">
        <f>G179</f>
        <v>279590.06</v>
      </c>
      <c r="H178" s="38"/>
    </row>
    <row r="179" spans="1:8" ht="94.5" outlineLevel="7">
      <c r="A179" s="36" t="s">
        <v>704</v>
      </c>
      <c r="B179" s="37" t="s">
        <v>710</v>
      </c>
      <c r="C179" s="37" t="s">
        <v>2</v>
      </c>
      <c r="D179" s="37" t="s">
        <v>66</v>
      </c>
      <c r="E179" s="37" t="s">
        <v>137</v>
      </c>
      <c r="F179" s="37" t="s">
        <v>10</v>
      </c>
      <c r="G179" s="38">
        <f>167500+112090.06</f>
        <v>279590.06</v>
      </c>
      <c r="H179" s="38"/>
    </row>
    <row r="180" spans="1:8" ht="31.5" outlineLevel="5">
      <c r="A180" s="36" t="s">
        <v>727</v>
      </c>
      <c r="B180" s="37" t="s">
        <v>710</v>
      </c>
      <c r="C180" s="37" t="s">
        <v>2</v>
      </c>
      <c r="D180" s="37" t="s">
        <v>66</v>
      </c>
      <c r="E180" s="37" t="s">
        <v>138</v>
      </c>
      <c r="F180" s="37" t="s">
        <v>1</v>
      </c>
      <c r="G180" s="38">
        <f>G181+G186+G184</f>
        <v>2221812.15</v>
      </c>
      <c r="H180" s="38"/>
    </row>
    <row r="181" spans="1:8" ht="78.75" outlineLevel="6">
      <c r="A181" s="36" t="s">
        <v>443</v>
      </c>
      <c r="B181" s="37" t="s">
        <v>710</v>
      </c>
      <c r="C181" s="37" t="s">
        <v>2</v>
      </c>
      <c r="D181" s="37" t="s">
        <v>66</v>
      </c>
      <c r="E181" s="37" t="s">
        <v>139</v>
      </c>
      <c r="F181" s="37" t="s">
        <v>1</v>
      </c>
      <c r="G181" s="38">
        <f>G182+G183</f>
        <v>1785019.7</v>
      </c>
      <c r="H181" s="38"/>
    </row>
    <row r="182" spans="1:8" ht="94.5" outlineLevel="7">
      <c r="A182" s="36" t="s">
        <v>704</v>
      </c>
      <c r="B182" s="37" t="s">
        <v>710</v>
      </c>
      <c r="C182" s="37" t="s">
        <v>2</v>
      </c>
      <c r="D182" s="37" t="s">
        <v>66</v>
      </c>
      <c r="E182" s="37" t="s">
        <v>139</v>
      </c>
      <c r="F182" s="37" t="s">
        <v>10</v>
      </c>
      <c r="G182" s="38">
        <f>1466478-377144-113897</f>
        <v>975437</v>
      </c>
      <c r="H182" s="38"/>
    </row>
    <row r="183" spans="1:8" ht="31.5" outlineLevel="7">
      <c r="A183" s="103" t="s">
        <v>689</v>
      </c>
      <c r="B183" s="104" t="s">
        <v>710</v>
      </c>
      <c r="C183" s="104" t="s">
        <v>2</v>
      </c>
      <c r="D183" s="104" t="s">
        <v>66</v>
      </c>
      <c r="E183" s="104" t="s">
        <v>139</v>
      </c>
      <c r="F183" s="104" t="s">
        <v>17</v>
      </c>
      <c r="G183" s="105">
        <f>848530-13913.91+3829.82-53750+11282.66+13604.13</f>
        <v>809582.7</v>
      </c>
      <c r="H183" s="105"/>
    </row>
    <row r="184" spans="1:8" ht="78.75" outlineLevel="7">
      <c r="A184" s="103" t="s">
        <v>432</v>
      </c>
      <c r="B184" s="104" t="s">
        <v>710</v>
      </c>
      <c r="C184" s="104" t="s">
        <v>2</v>
      </c>
      <c r="D184" s="104" t="s">
        <v>66</v>
      </c>
      <c r="E184" s="104" t="s">
        <v>929</v>
      </c>
      <c r="F184" s="104"/>
      <c r="G184" s="105">
        <f>G185</f>
        <v>45723.8</v>
      </c>
      <c r="H184" s="105"/>
    </row>
    <row r="185" spans="1:8" ht="94.5" outlineLevel="7">
      <c r="A185" s="36" t="s">
        <v>704</v>
      </c>
      <c r="B185" s="104" t="s">
        <v>710</v>
      </c>
      <c r="C185" s="104" t="s">
        <v>2</v>
      </c>
      <c r="D185" s="104" t="s">
        <v>66</v>
      </c>
      <c r="E185" s="104" t="s">
        <v>929</v>
      </c>
      <c r="F185" s="104" t="s">
        <v>10</v>
      </c>
      <c r="G185" s="105">
        <f>45723.8</f>
        <v>45723.8</v>
      </c>
      <c r="H185" s="105"/>
    </row>
    <row r="186" spans="1:8" ht="31.5" outlineLevel="6">
      <c r="A186" s="103" t="s">
        <v>441</v>
      </c>
      <c r="B186" s="104" t="s">
        <v>710</v>
      </c>
      <c r="C186" s="104" t="s">
        <v>2</v>
      </c>
      <c r="D186" s="104" t="s">
        <v>66</v>
      </c>
      <c r="E186" s="104" t="s">
        <v>140</v>
      </c>
      <c r="F186" s="104" t="s">
        <v>1</v>
      </c>
      <c r="G186" s="105">
        <f>G187</f>
        <v>391068.65</v>
      </c>
      <c r="H186" s="105"/>
    </row>
    <row r="187" spans="1:8" ht="31.5" outlineLevel="7">
      <c r="A187" s="103" t="s">
        <v>689</v>
      </c>
      <c r="B187" s="104" t="s">
        <v>710</v>
      </c>
      <c r="C187" s="104" t="s">
        <v>2</v>
      </c>
      <c r="D187" s="104" t="s">
        <v>66</v>
      </c>
      <c r="E187" s="104" t="s">
        <v>140</v>
      </c>
      <c r="F187" s="104" t="s">
        <v>17</v>
      </c>
      <c r="G187" s="105">
        <v>391068.65</v>
      </c>
      <c r="H187" s="105"/>
    </row>
    <row r="188" spans="1:9" s="35" customFormat="1" ht="15.75" outlineLevel="3">
      <c r="A188" s="117" t="s">
        <v>490</v>
      </c>
      <c r="B188" s="118" t="s">
        <v>710</v>
      </c>
      <c r="C188" s="118" t="s">
        <v>2</v>
      </c>
      <c r="D188" s="118" t="s">
        <v>66</v>
      </c>
      <c r="E188" s="118" t="s">
        <v>11</v>
      </c>
      <c r="F188" s="118" t="s">
        <v>1</v>
      </c>
      <c r="G188" s="119">
        <f>G189+G192</f>
        <v>695758.33</v>
      </c>
      <c r="H188" s="119"/>
      <c r="I188" s="106"/>
    </row>
    <row r="189" spans="1:8" ht="31.5" outlineLevel="6">
      <c r="A189" s="103" t="s">
        <v>447</v>
      </c>
      <c r="B189" s="104" t="s">
        <v>710</v>
      </c>
      <c r="C189" s="104" t="s">
        <v>2</v>
      </c>
      <c r="D189" s="104" t="s">
        <v>66</v>
      </c>
      <c r="E189" s="104" t="s">
        <v>141</v>
      </c>
      <c r="F189" s="104" t="s">
        <v>1</v>
      </c>
      <c r="G189" s="105">
        <f>G190+G191</f>
        <v>645754.4199999999</v>
      </c>
      <c r="H189" s="105"/>
    </row>
    <row r="190" spans="1:8" ht="31.5" outlineLevel="7">
      <c r="A190" s="103" t="s">
        <v>689</v>
      </c>
      <c r="B190" s="104" t="s">
        <v>710</v>
      </c>
      <c r="C190" s="104" t="s">
        <v>2</v>
      </c>
      <c r="D190" s="104" t="s">
        <v>66</v>
      </c>
      <c r="E190" s="104" t="s">
        <v>141</v>
      </c>
      <c r="F190" s="104" t="s">
        <v>17</v>
      </c>
      <c r="G190" s="105">
        <f>249000-51150</f>
        <v>197850</v>
      </c>
      <c r="H190" s="105"/>
    </row>
    <row r="191" spans="1:8" ht="15.75" outlineLevel="7">
      <c r="A191" s="103" t="s">
        <v>691</v>
      </c>
      <c r="B191" s="104" t="s">
        <v>710</v>
      </c>
      <c r="C191" s="104" t="s">
        <v>2</v>
      </c>
      <c r="D191" s="104" t="s">
        <v>66</v>
      </c>
      <c r="E191" s="104" t="s">
        <v>141</v>
      </c>
      <c r="F191" s="104" t="s">
        <v>65</v>
      </c>
      <c r="G191" s="105">
        <f>487764.42-39860</f>
        <v>447904.42</v>
      </c>
      <c r="H191" s="105"/>
    </row>
    <row r="192" spans="1:8" ht="31.5" outlineLevel="7">
      <c r="A192" s="100" t="s">
        <v>876</v>
      </c>
      <c r="B192" s="101" t="s">
        <v>710</v>
      </c>
      <c r="C192" s="101" t="s">
        <v>2</v>
      </c>
      <c r="D192" s="101" t="s">
        <v>66</v>
      </c>
      <c r="E192" s="101" t="s">
        <v>142</v>
      </c>
      <c r="F192" s="101" t="s">
        <v>1</v>
      </c>
      <c r="G192" s="119">
        <f>G193+G195+G194</f>
        <v>50003.91</v>
      </c>
      <c r="H192" s="105"/>
    </row>
    <row r="193" spans="1:8" ht="94.5" outlineLevel="7">
      <c r="A193" s="103" t="s">
        <v>704</v>
      </c>
      <c r="B193" s="90" t="s">
        <v>710</v>
      </c>
      <c r="C193" s="90" t="s">
        <v>2</v>
      </c>
      <c r="D193" s="90" t="s">
        <v>66</v>
      </c>
      <c r="E193" s="90" t="s">
        <v>142</v>
      </c>
      <c r="F193" s="91">
        <v>100</v>
      </c>
      <c r="G193" s="126">
        <f>13913.91-1082.11</f>
        <v>12831.8</v>
      </c>
      <c r="H193" s="105"/>
    </row>
    <row r="194" spans="1:8" ht="33.75" customHeight="1" outlineLevel="7">
      <c r="A194" s="103" t="s">
        <v>940</v>
      </c>
      <c r="B194" s="132" t="s">
        <v>710</v>
      </c>
      <c r="C194" s="94" t="s">
        <v>2</v>
      </c>
      <c r="D194" s="94" t="s">
        <v>66</v>
      </c>
      <c r="E194" s="90" t="s">
        <v>142</v>
      </c>
      <c r="F194" s="133">
        <v>300</v>
      </c>
      <c r="G194" s="126">
        <f>29090</f>
        <v>29090</v>
      </c>
      <c r="H194" s="105"/>
    </row>
    <row r="195" spans="1:8" ht="15.75" outlineLevel="7">
      <c r="A195" s="103" t="s">
        <v>691</v>
      </c>
      <c r="B195" s="104" t="s">
        <v>710</v>
      </c>
      <c r="C195" s="104" t="s">
        <v>2</v>
      </c>
      <c r="D195" s="104" t="s">
        <v>66</v>
      </c>
      <c r="E195" s="90" t="s">
        <v>142</v>
      </c>
      <c r="F195" s="104" t="s">
        <v>65</v>
      </c>
      <c r="G195" s="126">
        <f>1082.11+7000</f>
        <v>8082.11</v>
      </c>
      <c r="H195" s="105"/>
    </row>
    <row r="196" spans="1:9" s="35" customFormat="1" ht="47.25" outlineLevel="1">
      <c r="A196" s="32" t="s">
        <v>693</v>
      </c>
      <c r="B196" s="33" t="s">
        <v>710</v>
      </c>
      <c r="C196" s="33" t="s">
        <v>14</v>
      </c>
      <c r="D196" s="33" t="s">
        <v>3</v>
      </c>
      <c r="E196" s="33" t="s">
        <v>4</v>
      </c>
      <c r="F196" s="33" t="s">
        <v>1</v>
      </c>
      <c r="G196" s="34">
        <f>G197+G204</f>
        <v>44207488.73</v>
      </c>
      <c r="H196" s="34">
        <f>H197</f>
        <v>2669800</v>
      </c>
      <c r="I196" s="106"/>
    </row>
    <row r="197" spans="1:9" s="35" customFormat="1" ht="15.75" outlineLevel="2">
      <c r="A197" s="32" t="s">
        <v>665</v>
      </c>
      <c r="B197" s="33" t="s">
        <v>710</v>
      </c>
      <c r="C197" s="33" t="s">
        <v>14</v>
      </c>
      <c r="D197" s="33" t="s">
        <v>22</v>
      </c>
      <c r="E197" s="33" t="s">
        <v>4</v>
      </c>
      <c r="F197" s="33" t="s">
        <v>1</v>
      </c>
      <c r="G197" s="34">
        <f>G198</f>
        <v>2669800</v>
      </c>
      <c r="H197" s="34">
        <f>H198</f>
        <v>2669800</v>
      </c>
      <c r="I197" s="106"/>
    </row>
    <row r="198" spans="1:9" s="35" customFormat="1" ht="63" outlineLevel="3">
      <c r="A198" s="32" t="s">
        <v>652</v>
      </c>
      <c r="B198" s="33" t="s">
        <v>710</v>
      </c>
      <c r="C198" s="33" t="s">
        <v>14</v>
      </c>
      <c r="D198" s="33" t="s">
        <v>22</v>
      </c>
      <c r="E198" s="33" t="s">
        <v>6</v>
      </c>
      <c r="F198" s="33" t="s">
        <v>1</v>
      </c>
      <c r="G198" s="34">
        <f>G199</f>
        <v>2669800</v>
      </c>
      <c r="H198" s="34">
        <f>H199</f>
        <v>2669800</v>
      </c>
      <c r="I198" s="106"/>
    </row>
    <row r="199" spans="1:9" s="35" customFormat="1" ht="31.5" outlineLevel="4">
      <c r="A199" s="32" t="s">
        <v>612</v>
      </c>
      <c r="B199" s="33" t="s">
        <v>710</v>
      </c>
      <c r="C199" s="33" t="s">
        <v>14</v>
      </c>
      <c r="D199" s="33" t="s">
        <v>22</v>
      </c>
      <c r="E199" s="33" t="s">
        <v>43</v>
      </c>
      <c r="F199" s="33" t="s">
        <v>1</v>
      </c>
      <c r="G199" s="34">
        <f>G200</f>
        <v>2669800</v>
      </c>
      <c r="H199" s="34">
        <f>H200</f>
        <v>2669800</v>
      </c>
      <c r="I199" s="106"/>
    </row>
    <row r="200" spans="1:8" ht="47.25" outlineLevel="5">
      <c r="A200" s="36" t="s">
        <v>742</v>
      </c>
      <c r="B200" s="37" t="s">
        <v>710</v>
      </c>
      <c r="C200" s="37" t="s">
        <v>14</v>
      </c>
      <c r="D200" s="37" t="s">
        <v>22</v>
      </c>
      <c r="E200" s="37" t="s">
        <v>144</v>
      </c>
      <c r="F200" s="37" t="s">
        <v>1</v>
      </c>
      <c r="G200" s="38">
        <f>G201</f>
        <v>2669800</v>
      </c>
      <c r="H200" s="38">
        <f>H201</f>
        <v>2669800</v>
      </c>
    </row>
    <row r="201" spans="1:8" ht="126" outlineLevel="6">
      <c r="A201" s="36" t="s">
        <v>449</v>
      </c>
      <c r="B201" s="37" t="s">
        <v>710</v>
      </c>
      <c r="C201" s="37" t="s">
        <v>14</v>
      </c>
      <c r="D201" s="37" t="s">
        <v>22</v>
      </c>
      <c r="E201" s="37" t="s">
        <v>145</v>
      </c>
      <c r="F201" s="37" t="s">
        <v>1</v>
      </c>
      <c r="G201" s="38">
        <f>G202+G203</f>
        <v>2669800</v>
      </c>
      <c r="H201" s="38">
        <f>H202+H203</f>
        <v>2669800</v>
      </c>
    </row>
    <row r="202" spans="1:8" ht="94.5" outlineLevel="7">
      <c r="A202" s="36" t="s">
        <v>704</v>
      </c>
      <c r="B202" s="37" t="s">
        <v>710</v>
      </c>
      <c r="C202" s="37" t="s">
        <v>14</v>
      </c>
      <c r="D202" s="37" t="s">
        <v>22</v>
      </c>
      <c r="E202" s="37" t="s">
        <v>145</v>
      </c>
      <c r="F202" s="37" t="s">
        <v>10</v>
      </c>
      <c r="G202" s="38">
        <f>1772478.95+214119.44+54572.48</f>
        <v>2041170.8699999999</v>
      </c>
      <c r="H202" s="38">
        <f>G202</f>
        <v>2041170.8699999999</v>
      </c>
    </row>
    <row r="203" spans="1:8" ht="31.5" outlineLevel="7">
      <c r="A203" s="36" t="s">
        <v>689</v>
      </c>
      <c r="B203" s="37" t="s">
        <v>710</v>
      </c>
      <c r="C203" s="37" t="s">
        <v>14</v>
      </c>
      <c r="D203" s="37" t="s">
        <v>22</v>
      </c>
      <c r="E203" s="37" t="s">
        <v>145</v>
      </c>
      <c r="F203" s="37" t="s">
        <v>17</v>
      </c>
      <c r="G203" s="38">
        <f>358521.05+538800-268691.92</f>
        <v>628629.1300000001</v>
      </c>
      <c r="H203" s="38">
        <f>G203</f>
        <v>628629.1300000001</v>
      </c>
    </row>
    <row r="204" spans="1:9" s="35" customFormat="1" ht="63" outlineLevel="2">
      <c r="A204" s="32" t="s">
        <v>666</v>
      </c>
      <c r="B204" s="33" t="s">
        <v>710</v>
      </c>
      <c r="C204" s="33" t="s">
        <v>14</v>
      </c>
      <c r="D204" s="33" t="s">
        <v>146</v>
      </c>
      <c r="E204" s="33" t="s">
        <v>4</v>
      </c>
      <c r="F204" s="33" t="s">
        <v>1</v>
      </c>
      <c r="G204" s="34">
        <f>G205+G230</f>
        <v>41537688.73</v>
      </c>
      <c r="H204" s="34"/>
      <c r="I204" s="106"/>
    </row>
    <row r="205" spans="1:9" s="35" customFormat="1" ht="47.25" outlineLevel="3">
      <c r="A205" s="32" t="s">
        <v>654</v>
      </c>
      <c r="B205" s="33" t="s">
        <v>710</v>
      </c>
      <c r="C205" s="33" t="s">
        <v>14</v>
      </c>
      <c r="D205" s="33" t="s">
        <v>146</v>
      </c>
      <c r="E205" s="33" t="s">
        <v>71</v>
      </c>
      <c r="F205" s="33" t="s">
        <v>1</v>
      </c>
      <c r="G205" s="34">
        <f>G206+G210</f>
        <v>41213441.68</v>
      </c>
      <c r="H205" s="34"/>
      <c r="I205" s="106"/>
    </row>
    <row r="206" spans="1:9" s="35" customFormat="1" ht="47.25" hidden="1" outlineLevel="4">
      <c r="A206" s="32" t="s">
        <v>616</v>
      </c>
      <c r="B206" s="33" t="s">
        <v>710</v>
      </c>
      <c r="C206" s="33" t="s">
        <v>14</v>
      </c>
      <c r="D206" s="33" t="s">
        <v>146</v>
      </c>
      <c r="E206" s="33" t="s">
        <v>72</v>
      </c>
      <c r="F206" s="33" t="s">
        <v>1</v>
      </c>
      <c r="G206" s="34">
        <f>G207</f>
        <v>0</v>
      </c>
      <c r="H206" s="34"/>
      <c r="I206" s="106"/>
    </row>
    <row r="207" spans="1:8" ht="94.5" hidden="1" outlineLevel="5">
      <c r="A207" s="36" t="s">
        <v>836</v>
      </c>
      <c r="B207" s="37" t="s">
        <v>710</v>
      </c>
      <c r="C207" s="37" t="s">
        <v>14</v>
      </c>
      <c r="D207" s="37" t="s">
        <v>146</v>
      </c>
      <c r="E207" s="37" t="s">
        <v>147</v>
      </c>
      <c r="F207" s="37" t="s">
        <v>1</v>
      </c>
      <c r="G207" s="38">
        <f>G208</f>
        <v>0</v>
      </c>
      <c r="H207" s="38"/>
    </row>
    <row r="208" spans="1:8" ht="31.5" hidden="1" outlineLevel="6">
      <c r="A208" s="36" t="s">
        <v>441</v>
      </c>
      <c r="B208" s="37" t="s">
        <v>710</v>
      </c>
      <c r="C208" s="37" t="s">
        <v>14</v>
      </c>
      <c r="D208" s="37" t="s">
        <v>146</v>
      </c>
      <c r="E208" s="37" t="s">
        <v>148</v>
      </c>
      <c r="F208" s="37" t="s">
        <v>1</v>
      </c>
      <c r="G208" s="38">
        <f>G209</f>
        <v>0</v>
      </c>
      <c r="H208" s="38"/>
    </row>
    <row r="209" spans="1:8" ht="31.5" hidden="1" outlineLevel="7">
      <c r="A209" s="36" t="s">
        <v>689</v>
      </c>
      <c r="B209" s="37" t="s">
        <v>710</v>
      </c>
      <c r="C209" s="37" t="s">
        <v>14</v>
      </c>
      <c r="D209" s="37" t="s">
        <v>146</v>
      </c>
      <c r="E209" s="37" t="s">
        <v>148</v>
      </c>
      <c r="F209" s="37" t="s">
        <v>17</v>
      </c>
      <c r="G209" s="38">
        <f>71940-71940</f>
        <v>0</v>
      </c>
      <c r="H209" s="38"/>
    </row>
    <row r="210" spans="1:9" s="35" customFormat="1" ht="63" outlineLevel="4" collapsed="1">
      <c r="A210" s="32" t="s">
        <v>625</v>
      </c>
      <c r="B210" s="33" t="s">
        <v>710</v>
      </c>
      <c r="C210" s="33" t="s">
        <v>14</v>
      </c>
      <c r="D210" s="33" t="s">
        <v>146</v>
      </c>
      <c r="E210" s="33" t="s">
        <v>149</v>
      </c>
      <c r="F210" s="33" t="s">
        <v>1</v>
      </c>
      <c r="G210" s="34">
        <f>G211+G214+G221+G224+G227</f>
        <v>41213441.68</v>
      </c>
      <c r="H210" s="34"/>
      <c r="I210" s="106"/>
    </row>
    <row r="211" spans="1:8" ht="47.25" outlineLevel="5">
      <c r="A211" s="36" t="s">
        <v>743</v>
      </c>
      <c r="B211" s="37" t="s">
        <v>710</v>
      </c>
      <c r="C211" s="37" t="s">
        <v>14</v>
      </c>
      <c r="D211" s="37" t="s">
        <v>146</v>
      </c>
      <c r="E211" s="37" t="s">
        <v>150</v>
      </c>
      <c r="F211" s="37" t="s">
        <v>1</v>
      </c>
      <c r="G211" s="38">
        <f>G212</f>
        <v>201386</v>
      </c>
      <c r="H211" s="38"/>
    </row>
    <row r="212" spans="1:8" ht="31.5" outlineLevel="6">
      <c r="A212" s="36" t="s">
        <v>441</v>
      </c>
      <c r="B212" s="37" t="s">
        <v>710</v>
      </c>
      <c r="C212" s="37" t="s">
        <v>14</v>
      </c>
      <c r="D212" s="37" t="s">
        <v>146</v>
      </c>
      <c r="E212" s="37" t="s">
        <v>151</v>
      </c>
      <c r="F212" s="37" t="s">
        <v>1</v>
      </c>
      <c r="G212" s="38">
        <f>G213</f>
        <v>201386</v>
      </c>
      <c r="H212" s="38"/>
    </row>
    <row r="213" spans="1:8" ht="31.5" outlineLevel="7">
      <c r="A213" s="36" t="s">
        <v>689</v>
      </c>
      <c r="B213" s="37" t="s">
        <v>710</v>
      </c>
      <c r="C213" s="37" t="s">
        <v>14</v>
      </c>
      <c r="D213" s="37" t="s">
        <v>146</v>
      </c>
      <c r="E213" s="37" t="s">
        <v>151</v>
      </c>
      <c r="F213" s="37" t="s">
        <v>17</v>
      </c>
      <c r="G213" s="38">
        <f>190060.8+11325.2</f>
        <v>201386</v>
      </c>
      <c r="H213" s="38"/>
    </row>
    <row r="214" spans="1:8" ht="63" outlineLevel="5">
      <c r="A214" s="36" t="s">
        <v>744</v>
      </c>
      <c r="B214" s="37" t="s">
        <v>710</v>
      </c>
      <c r="C214" s="37" t="s">
        <v>14</v>
      </c>
      <c r="D214" s="37" t="s">
        <v>146</v>
      </c>
      <c r="E214" s="37" t="s">
        <v>152</v>
      </c>
      <c r="F214" s="37" t="s">
        <v>1</v>
      </c>
      <c r="G214" s="38">
        <f>G215+G219</f>
        <v>36206399.13</v>
      </c>
      <c r="H214" s="38"/>
    </row>
    <row r="215" spans="1:8" ht="78.75" outlineLevel="6">
      <c r="A215" s="36" t="s">
        <v>443</v>
      </c>
      <c r="B215" s="37" t="s">
        <v>710</v>
      </c>
      <c r="C215" s="37" t="s">
        <v>14</v>
      </c>
      <c r="D215" s="37" t="s">
        <v>146</v>
      </c>
      <c r="E215" s="37" t="s">
        <v>153</v>
      </c>
      <c r="F215" s="37" t="s">
        <v>1</v>
      </c>
      <c r="G215" s="38">
        <f>G216+G217+G218</f>
        <v>35841124.59</v>
      </c>
      <c r="H215" s="38"/>
    </row>
    <row r="216" spans="1:8" ht="94.5" outlineLevel="7">
      <c r="A216" s="36" t="s">
        <v>704</v>
      </c>
      <c r="B216" s="37" t="s">
        <v>710</v>
      </c>
      <c r="C216" s="37" t="s">
        <v>14</v>
      </c>
      <c r="D216" s="37" t="s">
        <v>146</v>
      </c>
      <c r="E216" s="37" t="s">
        <v>153</v>
      </c>
      <c r="F216" s="37" t="s">
        <v>10</v>
      </c>
      <c r="G216" s="38">
        <f>30196601.62+223235.46</f>
        <v>30419837.080000002</v>
      </c>
      <c r="H216" s="38"/>
    </row>
    <row r="217" spans="1:8" ht="31.5" outlineLevel="7">
      <c r="A217" s="36" t="s">
        <v>689</v>
      </c>
      <c r="B217" s="37" t="s">
        <v>710</v>
      </c>
      <c r="C217" s="37" t="s">
        <v>14</v>
      </c>
      <c r="D217" s="37" t="s">
        <v>146</v>
      </c>
      <c r="E217" s="37" t="s">
        <v>153</v>
      </c>
      <c r="F217" s="37" t="s">
        <v>17</v>
      </c>
      <c r="G217" s="38">
        <f>5255187.63+19435.3-28187.59+10606.67</f>
        <v>5257042.01</v>
      </c>
      <c r="H217" s="38"/>
    </row>
    <row r="218" spans="1:8" ht="15.75" outlineLevel="7">
      <c r="A218" s="36" t="s">
        <v>691</v>
      </c>
      <c r="B218" s="37" t="s">
        <v>710</v>
      </c>
      <c r="C218" s="37" t="s">
        <v>14</v>
      </c>
      <c r="D218" s="37" t="s">
        <v>146</v>
      </c>
      <c r="E218" s="37" t="s">
        <v>153</v>
      </c>
      <c r="F218" s="37" t="s">
        <v>65</v>
      </c>
      <c r="G218" s="38">
        <v>164245.5</v>
      </c>
      <c r="H218" s="38"/>
    </row>
    <row r="219" spans="1:8" ht="78.75" outlineLevel="6">
      <c r="A219" s="36" t="s">
        <v>432</v>
      </c>
      <c r="B219" s="37" t="s">
        <v>710</v>
      </c>
      <c r="C219" s="37" t="s">
        <v>14</v>
      </c>
      <c r="D219" s="37" t="s">
        <v>146</v>
      </c>
      <c r="E219" s="37" t="s">
        <v>154</v>
      </c>
      <c r="F219" s="37" t="s">
        <v>1</v>
      </c>
      <c r="G219" s="38">
        <f>G220</f>
        <v>365274.54000000004</v>
      </c>
      <c r="H219" s="38"/>
    </row>
    <row r="220" spans="1:8" ht="94.5" outlineLevel="7">
      <c r="A220" s="36" t="s">
        <v>704</v>
      </c>
      <c r="B220" s="37" t="s">
        <v>710</v>
      </c>
      <c r="C220" s="37" t="s">
        <v>14</v>
      </c>
      <c r="D220" s="37" t="s">
        <v>146</v>
      </c>
      <c r="E220" s="37" t="s">
        <v>154</v>
      </c>
      <c r="F220" s="37" t="s">
        <v>10</v>
      </c>
      <c r="G220" s="38">
        <f>588510-223235.46</f>
        <v>365274.54000000004</v>
      </c>
      <c r="H220" s="38"/>
    </row>
    <row r="221" spans="1:8" ht="15.75" outlineLevel="5">
      <c r="A221" s="36" t="s">
        <v>745</v>
      </c>
      <c r="B221" s="37" t="s">
        <v>710</v>
      </c>
      <c r="C221" s="37" t="s">
        <v>14</v>
      </c>
      <c r="D221" s="37" t="s">
        <v>146</v>
      </c>
      <c r="E221" s="37" t="s">
        <v>155</v>
      </c>
      <c r="F221" s="37" t="s">
        <v>1</v>
      </c>
      <c r="G221" s="38">
        <f>G222</f>
        <v>1075656.55</v>
      </c>
      <c r="H221" s="38"/>
    </row>
    <row r="222" spans="1:8" ht="31.5" outlineLevel="6">
      <c r="A222" s="36" t="s">
        <v>441</v>
      </c>
      <c r="B222" s="37" t="s">
        <v>710</v>
      </c>
      <c r="C222" s="37" t="s">
        <v>14</v>
      </c>
      <c r="D222" s="37" t="s">
        <v>146</v>
      </c>
      <c r="E222" s="37" t="s">
        <v>156</v>
      </c>
      <c r="F222" s="37" t="s">
        <v>1</v>
      </c>
      <c r="G222" s="38">
        <f>G223</f>
        <v>1075656.55</v>
      </c>
      <c r="H222" s="38"/>
    </row>
    <row r="223" spans="1:8" ht="31.5" outlineLevel="7">
      <c r="A223" s="36" t="s">
        <v>689</v>
      </c>
      <c r="B223" s="37" t="s">
        <v>710</v>
      </c>
      <c r="C223" s="37" t="s">
        <v>14</v>
      </c>
      <c r="D223" s="37" t="s">
        <v>146</v>
      </c>
      <c r="E223" s="37" t="s">
        <v>156</v>
      </c>
      <c r="F223" s="37" t="s">
        <v>17</v>
      </c>
      <c r="G223" s="38">
        <f>1106417.05-30760.5</f>
        <v>1075656.55</v>
      </c>
      <c r="H223" s="38"/>
    </row>
    <row r="224" spans="1:8" ht="63" outlineLevel="5">
      <c r="A224" s="36" t="s">
        <v>837</v>
      </c>
      <c r="B224" s="37" t="s">
        <v>710</v>
      </c>
      <c r="C224" s="37" t="s">
        <v>14</v>
      </c>
      <c r="D224" s="37" t="s">
        <v>146</v>
      </c>
      <c r="E224" s="37" t="s">
        <v>157</v>
      </c>
      <c r="F224" s="37" t="s">
        <v>1</v>
      </c>
      <c r="G224" s="38">
        <f>G225</f>
        <v>3000000</v>
      </c>
      <c r="H224" s="38"/>
    </row>
    <row r="225" spans="1:8" ht="31.5" outlineLevel="6">
      <c r="A225" s="36" t="s">
        <v>441</v>
      </c>
      <c r="B225" s="37" t="s">
        <v>710</v>
      </c>
      <c r="C225" s="37" t="s">
        <v>14</v>
      </c>
      <c r="D225" s="37" t="s">
        <v>146</v>
      </c>
      <c r="E225" s="37" t="s">
        <v>158</v>
      </c>
      <c r="F225" s="37" t="s">
        <v>1</v>
      </c>
      <c r="G225" s="38">
        <f>G226</f>
        <v>3000000</v>
      </c>
      <c r="H225" s="38"/>
    </row>
    <row r="226" spans="1:8" ht="31.5" outlineLevel="7">
      <c r="A226" s="36" t="s">
        <v>689</v>
      </c>
      <c r="B226" s="37" t="s">
        <v>710</v>
      </c>
      <c r="C226" s="37" t="s">
        <v>14</v>
      </c>
      <c r="D226" s="37" t="s">
        <v>146</v>
      </c>
      <c r="E226" s="37" t="s">
        <v>158</v>
      </c>
      <c r="F226" s="37" t="s">
        <v>17</v>
      </c>
      <c r="G226" s="38">
        <v>3000000</v>
      </c>
      <c r="H226" s="38"/>
    </row>
    <row r="227" spans="1:8" ht="47.25" outlineLevel="7">
      <c r="A227" s="36" t="s">
        <v>911</v>
      </c>
      <c r="B227" s="37" t="s">
        <v>710</v>
      </c>
      <c r="C227" s="37" t="s">
        <v>14</v>
      </c>
      <c r="D227" s="37" t="s">
        <v>146</v>
      </c>
      <c r="E227" s="37" t="s">
        <v>912</v>
      </c>
      <c r="F227" s="37" t="s">
        <v>1</v>
      </c>
      <c r="G227" s="38">
        <f>G228</f>
        <v>730000</v>
      </c>
      <c r="H227" s="38"/>
    </row>
    <row r="228" spans="1:8" ht="31.5" outlineLevel="7">
      <c r="A228" s="36" t="s">
        <v>441</v>
      </c>
      <c r="B228" s="37" t="s">
        <v>710</v>
      </c>
      <c r="C228" s="37" t="s">
        <v>14</v>
      </c>
      <c r="D228" s="37" t="s">
        <v>146</v>
      </c>
      <c r="E228" s="37" t="s">
        <v>913</v>
      </c>
      <c r="F228" s="37" t="s">
        <v>1</v>
      </c>
      <c r="G228" s="38">
        <f>G229</f>
        <v>730000</v>
      </c>
      <c r="H228" s="38"/>
    </row>
    <row r="229" spans="1:8" ht="31.5" outlineLevel="7">
      <c r="A229" s="36" t="s">
        <v>689</v>
      </c>
      <c r="B229" s="37" t="s">
        <v>710</v>
      </c>
      <c r="C229" s="37" t="s">
        <v>14</v>
      </c>
      <c r="D229" s="37" t="s">
        <v>146</v>
      </c>
      <c r="E229" s="37" t="s">
        <v>913</v>
      </c>
      <c r="F229" s="37" t="s">
        <v>17</v>
      </c>
      <c r="G229" s="38">
        <f>730000</f>
        <v>730000</v>
      </c>
      <c r="H229" s="38"/>
    </row>
    <row r="230" spans="1:9" s="35" customFormat="1" ht="47.25" outlineLevel="3">
      <c r="A230" s="32" t="s">
        <v>655</v>
      </c>
      <c r="B230" s="33" t="s">
        <v>710</v>
      </c>
      <c r="C230" s="33" t="s">
        <v>14</v>
      </c>
      <c r="D230" s="33" t="s">
        <v>146</v>
      </c>
      <c r="E230" s="33" t="s">
        <v>90</v>
      </c>
      <c r="F230" s="33" t="s">
        <v>1</v>
      </c>
      <c r="G230" s="34">
        <f>G231</f>
        <v>324247.05</v>
      </c>
      <c r="H230" s="34"/>
      <c r="I230" s="106"/>
    </row>
    <row r="231" spans="1:9" s="35" customFormat="1" ht="47.25" outlineLevel="4">
      <c r="A231" s="32" t="s">
        <v>620</v>
      </c>
      <c r="B231" s="33" t="s">
        <v>710</v>
      </c>
      <c r="C231" s="33" t="s">
        <v>14</v>
      </c>
      <c r="D231" s="33" t="s">
        <v>146</v>
      </c>
      <c r="E231" s="33" t="s">
        <v>91</v>
      </c>
      <c r="F231" s="33" t="s">
        <v>1</v>
      </c>
      <c r="G231" s="34">
        <f>G232</f>
        <v>324247.05</v>
      </c>
      <c r="H231" s="34"/>
      <c r="I231" s="106"/>
    </row>
    <row r="232" spans="1:8" ht="31.5" outlineLevel="5">
      <c r="A232" s="36" t="s">
        <v>734</v>
      </c>
      <c r="B232" s="37" t="s">
        <v>710</v>
      </c>
      <c r="C232" s="37" t="s">
        <v>14</v>
      </c>
      <c r="D232" s="37" t="s">
        <v>146</v>
      </c>
      <c r="E232" s="37" t="s">
        <v>100</v>
      </c>
      <c r="F232" s="37" t="s">
        <v>1</v>
      </c>
      <c r="G232" s="38">
        <f>G233</f>
        <v>324247.05</v>
      </c>
      <c r="H232" s="38"/>
    </row>
    <row r="233" spans="1:8" ht="31.5" outlineLevel="6">
      <c r="A233" s="36" t="s">
        <v>441</v>
      </c>
      <c r="B233" s="37" t="s">
        <v>710</v>
      </c>
      <c r="C233" s="37" t="s">
        <v>14</v>
      </c>
      <c r="D233" s="37" t="s">
        <v>146</v>
      </c>
      <c r="E233" s="37" t="s">
        <v>101</v>
      </c>
      <c r="F233" s="37" t="s">
        <v>1</v>
      </c>
      <c r="G233" s="38">
        <f>G234</f>
        <v>324247.05</v>
      </c>
      <c r="H233" s="38"/>
    </row>
    <row r="234" spans="1:8" ht="31.5" outlineLevel="7">
      <c r="A234" s="36" t="s">
        <v>689</v>
      </c>
      <c r="B234" s="37" t="s">
        <v>710</v>
      </c>
      <c r="C234" s="37" t="s">
        <v>14</v>
      </c>
      <c r="D234" s="37" t="s">
        <v>146</v>
      </c>
      <c r="E234" s="37" t="s">
        <v>101</v>
      </c>
      <c r="F234" s="37" t="s">
        <v>17</v>
      </c>
      <c r="G234" s="38">
        <f>334853.72-10606.67</f>
        <v>324247.05</v>
      </c>
      <c r="H234" s="38"/>
    </row>
    <row r="235" spans="1:9" s="35" customFormat="1" ht="15.75" outlineLevel="1">
      <c r="A235" s="32" t="s">
        <v>694</v>
      </c>
      <c r="B235" s="33" t="s">
        <v>710</v>
      </c>
      <c r="C235" s="33" t="s">
        <v>22</v>
      </c>
      <c r="D235" s="33" t="s">
        <v>3</v>
      </c>
      <c r="E235" s="33" t="s">
        <v>4</v>
      </c>
      <c r="F235" s="33" t="s">
        <v>1</v>
      </c>
      <c r="G235" s="34">
        <f>G236+G249+G268</f>
        <v>34652669.75</v>
      </c>
      <c r="H235" s="34">
        <f>H236+H268</f>
        <v>1074566.8</v>
      </c>
      <c r="I235" s="106"/>
    </row>
    <row r="236" spans="1:9" s="35" customFormat="1" ht="15.75" outlineLevel="2">
      <c r="A236" s="32" t="s">
        <v>668</v>
      </c>
      <c r="B236" s="33" t="s">
        <v>710</v>
      </c>
      <c r="C236" s="33" t="s">
        <v>22</v>
      </c>
      <c r="D236" s="33" t="s">
        <v>165</v>
      </c>
      <c r="E236" s="33" t="s">
        <v>4</v>
      </c>
      <c r="F236" s="33" t="s">
        <v>1</v>
      </c>
      <c r="G236" s="34">
        <f>G237</f>
        <v>23557941.080000002</v>
      </c>
      <c r="H236" s="34">
        <f>H237</f>
        <v>1038366.8</v>
      </c>
      <c r="I236" s="106"/>
    </row>
    <row r="237" spans="1:9" s="35" customFormat="1" ht="78.75" outlineLevel="3">
      <c r="A237" s="32" t="s">
        <v>656</v>
      </c>
      <c r="B237" s="33" t="s">
        <v>710</v>
      </c>
      <c r="C237" s="33" t="s">
        <v>22</v>
      </c>
      <c r="D237" s="33" t="s">
        <v>165</v>
      </c>
      <c r="E237" s="33" t="s">
        <v>160</v>
      </c>
      <c r="F237" s="33" t="s">
        <v>1</v>
      </c>
      <c r="G237" s="34">
        <f>G238</f>
        <v>23557941.080000002</v>
      </c>
      <c r="H237" s="34">
        <f>H238</f>
        <v>1038366.8</v>
      </c>
      <c r="I237" s="106"/>
    </row>
    <row r="238" spans="1:9" s="35" customFormat="1" ht="47.25" outlineLevel="4">
      <c r="A238" s="32" t="s">
        <v>627</v>
      </c>
      <c r="B238" s="33" t="s">
        <v>710</v>
      </c>
      <c r="C238" s="33" t="s">
        <v>22</v>
      </c>
      <c r="D238" s="33" t="s">
        <v>165</v>
      </c>
      <c r="E238" s="33" t="s">
        <v>166</v>
      </c>
      <c r="F238" s="33" t="s">
        <v>1</v>
      </c>
      <c r="G238" s="34">
        <f>G239+G242+G245</f>
        <v>23557941.080000002</v>
      </c>
      <c r="H238" s="34">
        <f>H242</f>
        <v>1038366.8</v>
      </c>
      <c r="I238" s="106"/>
    </row>
    <row r="239" spans="1:8" ht="63" outlineLevel="5">
      <c r="A239" s="36" t="s">
        <v>746</v>
      </c>
      <c r="B239" s="37" t="s">
        <v>710</v>
      </c>
      <c r="C239" s="37" t="s">
        <v>22</v>
      </c>
      <c r="D239" s="37" t="s">
        <v>165</v>
      </c>
      <c r="E239" s="37" t="s">
        <v>167</v>
      </c>
      <c r="F239" s="37" t="s">
        <v>1</v>
      </c>
      <c r="G239" s="38">
        <f>G240</f>
        <v>18893000</v>
      </c>
      <c r="H239" s="38"/>
    </row>
    <row r="240" spans="1:8" ht="47.25" outlineLevel="6">
      <c r="A240" s="36" t="s">
        <v>452</v>
      </c>
      <c r="B240" s="37" t="s">
        <v>710</v>
      </c>
      <c r="C240" s="37" t="s">
        <v>22</v>
      </c>
      <c r="D240" s="37" t="s">
        <v>165</v>
      </c>
      <c r="E240" s="37" t="s">
        <v>168</v>
      </c>
      <c r="F240" s="37" t="s">
        <v>1</v>
      </c>
      <c r="G240" s="38">
        <f>G241</f>
        <v>18893000</v>
      </c>
      <c r="H240" s="38"/>
    </row>
    <row r="241" spans="1:8" ht="15.75" outlineLevel="7">
      <c r="A241" s="36" t="s">
        <v>691</v>
      </c>
      <c r="B241" s="37" t="s">
        <v>710</v>
      </c>
      <c r="C241" s="37" t="s">
        <v>22</v>
      </c>
      <c r="D241" s="37" t="s">
        <v>165</v>
      </c>
      <c r="E241" s="37" t="s">
        <v>168</v>
      </c>
      <c r="F241" s="37" t="s">
        <v>65</v>
      </c>
      <c r="G241" s="38">
        <v>18893000</v>
      </c>
      <c r="H241" s="38"/>
    </row>
    <row r="242" spans="1:8" ht="78.75" outlineLevel="5">
      <c r="A242" s="36" t="s">
        <v>747</v>
      </c>
      <c r="B242" s="37" t="s">
        <v>710</v>
      </c>
      <c r="C242" s="37" t="s">
        <v>22</v>
      </c>
      <c r="D242" s="37" t="s">
        <v>165</v>
      </c>
      <c r="E242" s="37" t="s">
        <v>169</v>
      </c>
      <c r="F242" s="37" t="s">
        <v>1</v>
      </c>
      <c r="G242" s="38">
        <f>G243</f>
        <v>1038366.8</v>
      </c>
      <c r="H242" s="38">
        <f>H243</f>
        <v>1038366.8</v>
      </c>
    </row>
    <row r="243" spans="1:8" ht="110.25" outlineLevel="6">
      <c r="A243" s="36" t="s">
        <v>453</v>
      </c>
      <c r="B243" s="37" t="s">
        <v>710</v>
      </c>
      <c r="C243" s="37" t="s">
        <v>22</v>
      </c>
      <c r="D243" s="37" t="s">
        <v>165</v>
      </c>
      <c r="E243" s="37" t="s">
        <v>170</v>
      </c>
      <c r="F243" s="37" t="s">
        <v>1</v>
      </c>
      <c r="G243" s="38">
        <f>G244</f>
        <v>1038366.8</v>
      </c>
      <c r="H243" s="38">
        <f>H244</f>
        <v>1038366.8</v>
      </c>
    </row>
    <row r="244" spans="1:8" ht="15.75" outlineLevel="7">
      <c r="A244" s="36" t="s">
        <v>691</v>
      </c>
      <c r="B244" s="37" t="s">
        <v>710</v>
      </c>
      <c r="C244" s="37" t="s">
        <v>22</v>
      </c>
      <c r="D244" s="37" t="s">
        <v>165</v>
      </c>
      <c r="E244" s="37" t="s">
        <v>170</v>
      </c>
      <c r="F244" s="37" t="s">
        <v>65</v>
      </c>
      <c r="G244" s="38">
        <v>1038366.8</v>
      </c>
      <c r="H244" s="38">
        <f>G244</f>
        <v>1038366.8</v>
      </c>
    </row>
    <row r="245" spans="1:8" ht="15.75" outlineLevel="5">
      <c r="A245" s="36" t="s">
        <v>838</v>
      </c>
      <c r="B245" s="37" t="s">
        <v>710</v>
      </c>
      <c r="C245" s="37" t="s">
        <v>22</v>
      </c>
      <c r="D245" s="37" t="s">
        <v>165</v>
      </c>
      <c r="E245" s="37" t="s">
        <v>171</v>
      </c>
      <c r="F245" s="37" t="s">
        <v>1</v>
      </c>
      <c r="G245" s="38">
        <f>G246</f>
        <v>3626574.28</v>
      </c>
      <c r="H245" s="38"/>
    </row>
    <row r="246" spans="1:8" ht="31.5" outlineLevel="6">
      <c r="A246" s="36" t="s">
        <v>441</v>
      </c>
      <c r="B246" s="37" t="s">
        <v>710</v>
      </c>
      <c r="C246" s="37" t="s">
        <v>22</v>
      </c>
      <c r="D246" s="37" t="s">
        <v>165</v>
      </c>
      <c r="E246" s="37" t="s">
        <v>172</v>
      </c>
      <c r="F246" s="37" t="s">
        <v>1</v>
      </c>
      <c r="G246" s="38">
        <f>G247+G248</f>
        <v>3626574.28</v>
      </c>
      <c r="H246" s="38"/>
    </row>
    <row r="247" spans="1:8" ht="31.5" outlineLevel="7">
      <c r="A247" s="36" t="s">
        <v>689</v>
      </c>
      <c r="B247" s="37" t="s">
        <v>710</v>
      </c>
      <c r="C247" s="37" t="s">
        <v>22</v>
      </c>
      <c r="D247" s="37" t="s">
        <v>165</v>
      </c>
      <c r="E247" s="37" t="s">
        <v>172</v>
      </c>
      <c r="F247" s="37" t="s">
        <v>17</v>
      </c>
      <c r="G247" s="38">
        <f>7531975-3531975-142583.7-233842.02</f>
        <v>3623574.28</v>
      </c>
      <c r="H247" s="38"/>
    </row>
    <row r="248" spans="1:8" ht="15.75" outlineLevel="7">
      <c r="A248" s="36" t="s">
        <v>691</v>
      </c>
      <c r="B248" s="37" t="s">
        <v>710</v>
      </c>
      <c r="C248" s="37" t="s">
        <v>22</v>
      </c>
      <c r="D248" s="37" t="s">
        <v>165</v>
      </c>
      <c r="E248" s="37" t="s">
        <v>172</v>
      </c>
      <c r="F248" s="37" t="s">
        <v>65</v>
      </c>
      <c r="G248" s="38">
        <f>10000-7000</f>
        <v>3000</v>
      </c>
      <c r="H248" s="38"/>
    </row>
    <row r="249" spans="1:9" s="35" customFormat="1" ht="15.75" outlineLevel="2">
      <c r="A249" s="32" t="s">
        <v>670</v>
      </c>
      <c r="B249" s="33" t="s">
        <v>710</v>
      </c>
      <c r="C249" s="33" t="s">
        <v>22</v>
      </c>
      <c r="D249" s="33" t="s">
        <v>187</v>
      </c>
      <c r="E249" s="33" t="s">
        <v>4</v>
      </c>
      <c r="F249" s="33" t="s">
        <v>1</v>
      </c>
      <c r="G249" s="34">
        <f>G250</f>
        <v>11058528.67</v>
      </c>
      <c r="H249" s="34"/>
      <c r="I249" s="106"/>
    </row>
    <row r="250" spans="1:9" s="35" customFormat="1" ht="47.25" outlineLevel="3">
      <c r="A250" s="32" t="s">
        <v>655</v>
      </c>
      <c r="B250" s="33" t="s">
        <v>710</v>
      </c>
      <c r="C250" s="33" t="s">
        <v>22</v>
      </c>
      <c r="D250" s="33" t="s">
        <v>187</v>
      </c>
      <c r="E250" s="33" t="s">
        <v>90</v>
      </c>
      <c r="F250" s="33" t="s">
        <v>1</v>
      </c>
      <c r="G250" s="34">
        <f>G251+G258</f>
        <v>11058528.67</v>
      </c>
      <c r="H250" s="34"/>
      <c r="I250" s="106"/>
    </row>
    <row r="251" spans="1:9" s="35" customFormat="1" ht="63" outlineLevel="4">
      <c r="A251" s="32" t="s">
        <v>630</v>
      </c>
      <c r="B251" s="33" t="s">
        <v>710</v>
      </c>
      <c r="C251" s="33" t="s">
        <v>22</v>
      </c>
      <c r="D251" s="33" t="s">
        <v>187</v>
      </c>
      <c r="E251" s="33" t="s">
        <v>188</v>
      </c>
      <c r="F251" s="33" t="s">
        <v>1</v>
      </c>
      <c r="G251" s="34">
        <f>G252</f>
        <v>10177543.87</v>
      </c>
      <c r="H251" s="34"/>
      <c r="I251" s="106"/>
    </row>
    <row r="252" spans="1:8" ht="94.5" outlineLevel="5">
      <c r="A252" s="36" t="s">
        <v>748</v>
      </c>
      <c r="B252" s="37" t="s">
        <v>710</v>
      </c>
      <c r="C252" s="37" t="s">
        <v>22</v>
      </c>
      <c r="D252" s="37" t="s">
        <v>187</v>
      </c>
      <c r="E252" s="37" t="s">
        <v>189</v>
      </c>
      <c r="F252" s="37" t="s">
        <v>1</v>
      </c>
      <c r="G252" s="38">
        <f>G253+G256</f>
        <v>10177543.87</v>
      </c>
      <c r="H252" s="38"/>
    </row>
    <row r="253" spans="1:8" ht="78.75" outlineLevel="6">
      <c r="A253" s="36" t="s">
        <v>443</v>
      </c>
      <c r="B253" s="37" t="s">
        <v>710</v>
      </c>
      <c r="C253" s="37" t="s">
        <v>22</v>
      </c>
      <c r="D253" s="37" t="s">
        <v>187</v>
      </c>
      <c r="E253" s="37" t="s">
        <v>190</v>
      </c>
      <c r="F253" s="37" t="s">
        <v>1</v>
      </c>
      <c r="G253" s="38">
        <f>G254+G255</f>
        <v>9957543.87</v>
      </c>
      <c r="H253" s="38"/>
    </row>
    <row r="254" spans="1:8" ht="94.5" outlineLevel="7">
      <c r="A254" s="36" t="s">
        <v>704</v>
      </c>
      <c r="B254" s="37" t="s">
        <v>710</v>
      </c>
      <c r="C254" s="37" t="s">
        <v>22</v>
      </c>
      <c r="D254" s="37" t="s">
        <v>187</v>
      </c>
      <c r="E254" s="37" t="s">
        <v>190</v>
      </c>
      <c r="F254" s="37" t="s">
        <v>10</v>
      </c>
      <c r="G254" s="38">
        <v>9885644.87</v>
      </c>
      <c r="H254" s="38"/>
    </row>
    <row r="255" spans="1:8" ht="31.5" outlineLevel="7">
      <c r="A255" s="36" t="s">
        <v>689</v>
      </c>
      <c r="B255" s="37" t="s">
        <v>710</v>
      </c>
      <c r="C255" s="37" t="s">
        <v>22</v>
      </c>
      <c r="D255" s="37" t="s">
        <v>187</v>
      </c>
      <c r="E255" s="37" t="s">
        <v>190</v>
      </c>
      <c r="F255" s="37" t="s">
        <v>17</v>
      </c>
      <c r="G255" s="38">
        <f>76499-4600</f>
        <v>71899</v>
      </c>
      <c r="H255" s="38"/>
    </row>
    <row r="256" spans="1:8" ht="78.75" outlineLevel="6">
      <c r="A256" s="36" t="s">
        <v>432</v>
      </c>
      <c r="B256" s="37" t="s">
        <v>710</v>
      </c>
      <c r="C256" s="37" t="s">
        <v>22</v>
      </c>
      <c r="D256" s="37" t="s">
        <v>187</v>
      </c>
      <c r="E256" s="37" t="s">
        <v>191</v>
      </c>
      <c r="F256" s="37" t="s">
        <v>1</v>
      </c>
      <c r="G256" s="38">
        <f>G257</f>
        <v>220000</v>
      </c>
      <c r="H256" s="38"/>
    </row>
    <row r="257" spans="1:8" ht="94.5" outlineLevel="7">
      <c r="A257" s="36" t="s">
        <v>704</v>
      </c>
      <c r="B257" s="37" t="s">
        <v>710</v>
      </c>
      <c r="C257" s="37" t="s">
        <v>22</v>
      </c>
      <c r="D257" s="37" t="s">
        <v>187</v>
      </c>
      <c r="E257" s="37" t="s">
        <v>191</v>
      </c>
      <c r="F257" s="37" t="s">
        <v>10</v>
      </c>
      <c r="G257" s="38">
        <f>260000-40000</f>
        <v>220000</v>
      </c>
      <c r="H257" s="38"/>
    </row>
    <row r="258" spans="1:9" s="35" customFormat="1" ht="47.25" outlineLevel="4">
      <c r="A258" s="32" t="s">
        <v>620</v>
      </c>
      <c r="B258" s="33" t="s">
        <v>710</v>
      </c>
      <c r="C258" s="33" t="s">
        <v>22</v>
      </c>
      <c r="D258" s="33" t="s">
        <v>187</v>
      </c>
      <c r="E258" s="33" t="s">
        <v>91</v>
      </c>
      <c r="F258" s="33" t="s">
        <v>1</v>
      </c>
      <c r="G258" s="34">
        <f>G259+G262+G265</f>
        <v>880984.8</v>
      </c>
      <c r="H258" s="34"/>
      <c r="I258" s="106"/>
    </row>
    <row r="259" spans="1:8" ht="47.25" outlineLevel="5">
      <c r="A259" s="36" t="s">
        <v>725</v>
      </c>
      <c r="B259" s="37" t="s">
        <v>710</v>
      </c>
      <c r="C259" s="37" t="s">
        <v>22</v>
      </c>
      <c r="D259" s="37" t="s">
        <v>187</v>
      </c>
      <c r="E259" s="37" t="s">
        <v>92</v>
      </c>
      <c r="F259" s="37" t="s">
        <v>1</v>
      </c>
      <c r="G259" s="38">
        <f>G260</f>
        <v>16665</v>
      </c>
      <c r="H259" s="38"/>
    </row>
    <row r="260" spans="1:8" ht="31.5" outlineLevel="6">
      <c r="A260" s="36" t="s">
        <v>441</v>
      </c>
      <c r="B260" s="37" t="s">
        <v>710</v>
      </c>
      <c r="C260" s="37" t="s">
        <v>22</v>
      </c>
      <c r="D260" s="37" t="s">
        <v>187</v>
      </c>
      <c r="E260" s="37" t="s">
        <v>93</v>
      </c>
      <c r="F260" s="37" t="s">
        <v>1</v>
      </c>
      <c r="G260" s="38">
        <f>G261</f>
        <v>16665</v>
      </c>
      <c r="H260" s="38"/>
    </row>
    <row r="261" spans="1:8" ht="31.5" outlineLevel="7">
      <c r="A261" s="36" t="s">
        <v>689</v>
      </c>
      <c r="B261" s="37" t="s">
        <v>710</v>
      </c>
      <c r="C261" s="37" t="s">
        <v>22</v>
      </c>
      <c r="D261" s="37" t="s">
        <v>187</v>
      </c>
      <c r="E261" s="37" t="s">
        <v>93</v>
      </c>
      <c r="F261" s="37" t="s">
        <v>17</v>
      </c>
      <c r="G261" s="38">
        <f>23240-6575</f>
        <v>16665</v>
      </c>
      <c r="H261" s="38"/>
    </row>
    <row r="262" spans="1:8" ht="31.5" outlineLevel="5">
      <c r="A262" s="36" t="s">
        <v>734</v>
      </c>
      <c r="B262" s="37" t="s">
        <v>710</v>
      </c>
      <c r="C262" s="37" t="s">
        <v>22</v>
      </c>
      <c r="D262" s="37" t="s">
        <v>187</v>
      </c>
      <c r="E262" s="37" t="s">
        <v>100</v>
      </c>
      <c r="F262" s="37" t="s">
        <v>1</v>
      </c>
      <c r="G262" s="38">
        <f>G263</f>
        <v>728995.8</v>
      </c>
      <c r="H262" s="38"/>
    </row>
    <row r="263" spans="1:8" ht="31.5" outlineLevel="6">
      <c r="A263" s="36" t="s">
        <v>441</v>
      </c>
      <c r="B263" s="37" t="s">
        <v>710</v>
      </c>
      <c r="C263" s="37" t="s">
        <v>22</v>
      </c>
      <c r="D263" s="37" t="s">
        <v>187</v>
      </c>
      <c r="E263" s="37" t="s">
        <v>101</v>
      </c>
      <c r="F263" s="37" t="s">
        <v>1</v>
      </c>
      <c r="G263" s="38">
        <f>G264</f>
        <v>728995.8</v>
      </c>
      <c r="H263" s="38"/>
    </row>
    <row r="264" spans="1:8" ht="31.5" outlineLevel="7">
      <c r="A264" s="36" t="s">
        <v>689</v>
      </c>
      <c r="B264" s="37" t="s">
        <v>710</v>
      </c>
      <c r="C264" s="37" t="s">
        <v>22</v>
      </c>
      <c r="D264" s="37" t="s">
        <v>187</v>
      </c>
      <c r="E264" s="37" t="s">
        <v>101</v>
      </c>
      <c r="F264" s="37" t="s">
        <v>17</v>
      </c>
      <c r="G264" s="38">
        <f>675880.8+53115</f>
        <v>728995.8</v>
      </c>
      <c r="H264" s="38"/>
    </row>
    <row r="265" spans="1:8" ht="15.75" outlineLevel="5">
      <c r="A265" s="36" t="s">
        <v>735</v>
      </c>
      <c r="B265" s="37" t="s">
        <v>710</v>
      </c>
      <c r="C265" s="37" t="s">
        <v>22</v>
      </c>
      <c r="D265" s="37" t="s">
        <v>187</v>
      </c>
      <c r="E265" s="37" t="s">
        <v>102</v>
      </c>
      <c r="F265" s="37" t="s">
        <v>1</v>
      </c>
      <c r="G265" s="38">
        <f>G266</f>
        <v>135324</v>
      </c>
      <c r="H265" s="38"/>
    </row>
    <row r="266" spans="1:8" ht="31.5" outlineLevel="6">
      <c r="A266" s="36" t="s">
        <v>441</v>
      </c>
      <c r="B266" s="37" t="s">
        <v>710</v>
      </c>
      <c r="C266" s="37" t="s">
        <v>22</v>
      </c>
      <c r="D266" s="37" t="s">
        <v>187</v>
      </c>
      <c r="E266" s="37" t="s">
        <v>103</v>
      </c>
      <c r="F266" s="37" t="s">
        <v>1</v>
      </c>
      <c r="G266" s="38">
        <f>G267</f>
        <v>135324</v>
      </c>
      <c r="H266" s="38"/>
    </row>
    <row r="267" spans="1:8" ht="31.5" outlineLevel="7">
      <c r="A267" s="36" t="s">
        <v>689</v>
      </c>
      <c r="B267" s="37" t="s">
        <v>710</v>
      </c>
      <c r="C267" s="37" t="s">
        <v>22</v>
      </c>
      <c r="D267" s="37" t="s">
        <v>187</v>
      </c>
      <c r="E267" s="37" t="s">
        <v>103</v>
      </c>
      <c r="F267" s="37" t="s">
        <v>17</v>
      </c>
      <c r="G267" s="38">
        <f>145140-9816</f>
        <v>135324</v>
      </c>
      <c r="H267" s="38"/>
    </row>
    <row r="268" spans="1:9" s="35" customFormat="1" ht="31.5" outlineLevel="2">
      <c r="A268" s="32" t="s">
        <v>671</v>
      </c>
      <c r="B268" s="33" t="s">
        <v>710</v>
      </c>
      <c r="C268" s="33" t="s">
        <v>22</v>
      </c>
      <c r="D268" s="33" t="s">
        <v>192</v>
      </c>
      <c r="E268" s="33" t="s">
        <v>4</v>
      </c>
      <c r="F268" s="33" t="s">
        <v>1</v>
      </c>
      <c r="G268" s="34">
        <f aca="true" t="shared" si="0" ref="G268:H271">G269</f>
        <v>36200</v>
      </c>
      <c r="H268" s="34">
        <f t="shared" si="0"/>
        <v>36200</v>
      </c>
      <c r="I268" s="106"/>
    </row>
    <row r="269" spans="1:9" s="35" customFormat="1" ht="63" outlineLevel="3">
      <c r="A269" s="32" t="s">
        <v>652</v>
      </c>
      <c r="B269" s="33" t="s">
        <v>710</v>
      </c>
      <c r="C269" s="33" t="s">
        <v>22</v>
      </c>
      <c r="D269" s="33" t="s">
        <v>192</v>
      </c>
      <c r="E269" s="33" t="s">
        <v>6</v>
      </c>
      <c r="F269" s="33" t="s">
        <v>1</v>
      </c>
      <c r="G269" s="34">
        <f t="shared" si="0"/>
        <v>36200</v>
      </c>
      <c r="H269" s="34">
        <f t="shared" si="0"/>
        <v>36200</v>
      </c>
      <c r="I269" s="106"/>
    </row>
    <row r="270" spans="1:9" s="35" customFormat="1" ht="31.5" outlineLevel="4">
      <c r="A270" s="32" t="s">
        <v>612</v>
      </c>
      <c r="B270" s="33" t="s">
        <v>710</v>
      </c>
      <c r="C270" s="33" t="s">
        <v>22</v>
      </c>
      <c r="D270" s="33" t="s">
        <v>192</v>
      </c>
      <c r="E270" s="33" t="s">
        <v>43</v>
      </c>
      <c r="F270" s="33" t="s">
        <v>1</v>
      </c>
      <c r="G270" s="34">
        <f t="shared" si="0"/>
        <v>36200</v>
      </c>
      <c r="H270" s="34">
        <f t="shared" si="0"/>
        <v>36200</v>
      </c>
      <c r="I270" s="106"/>
    </row>
    <row r="271" spans="1:8" ht="63" outlineLevel="5">
      <c r="A271" s="36" t="s">
        <v>749</v>
      </c>
      <c r="B271" s="37" t="s">
        <v>710</v>
      </c>
      <c r="C271" s="37" t="s">
        <v>22</v>
      </c>
      <c r="D271" s="37" t="s">
        <v>192</v>
      </c>
      <c r="E271" s="37" t="s">
        <v>193</v>
      </c>
      <c r="F271" s="37" t="s">
        <v>1</v>
      </c>
      <c r="G271" s="38">
        <f t="shared" si="0"/>
        <v>36200</v>
      </c>
      <c r="H271" s="38">
        <f t="shared" si="0"/>
        <v>36200</v>
      </c>
    </row>
    <row r="272" spans="1:8" ht="110.25" outlineLevel="6">
      <c r="A272" s="36" t="s">
        <v>457</v>
      </c>
      <c r="B272" s="37" t="s">
        <v>710</v>
      </c>
      <c r="C272" s="37" t="s">
        <v>22</v>
      </c>
      <c r="D272" s="37" t="s">
        <v>192</v>
      </c>
      <c r="E272" s="37" t="s">
        <v>194</v>
      </c>
      <c r="F272" s="37" t="s">
        <v>1</v>
      </c>
      <c r="G272" s="38">
        <f>G273+G274</f>
        <v>36200</v>
      </c>
      <c r="H272" s="38">
        <f>H273+H274</f>
        <v>36200</v>
      </c>
    </row>
    <row r="273" spans="1:8" ht="94.5" outlineLevel="7">
      <c r="A273" s="36" t="s">
        <v>704</v>
      </c>
      <c r="B273" s="37" t="s">
        <v>710</v>
      </c>
      <c r="C273" s="37" t="s">
        <v>22</v>
      </c>
      <c r="D273" s="37" t="s">
        <v>192</v>
      </c>
      <c r="E273" s="37" t="s">
        <v>194</v>
      </c>
      <c r="F273" s="37" t="s">
        <v>10</v>
      </c>
      <c r="G273" s="38">
        <v>32122.44</v>
      </c>
      <c r="H273" s="38">
        <f>G273</f>
        <v>32122.44</v>
      </c>
    </row>
    <row r="274" spans="1:8" ht="31.5" outlineLevel="7">
      <c r="A274" s="36" t="s">
        <v>689</v>
      </c>
      <c r="B274" s="37" t="s">
        <v>710</v>
      </c>
      <c r="C274" s="37" t="s">
        <v>22</v>
      </c>
      <c r="D274" s="37" t="s">
        <v>192</v>
      </c>
      <c r="E274" s="37" t="s">
        <v>194</v>
      </c>
      <c r="F274" s="37" t="s">
        <v>17</v>
      </c>
      <c r="G274" s="38">
        <v>4077.56</v>
      </c>
      <c r="H274" s="38">
        <f>G274</f>
        <v>4077.56</v>
      </c>
    </row>
    <row r="275" spans="1:9" s="35" customFormat="1" ht="15.75" outlineLevel="1">
      <c r="A275" s="32" t="s">
        <v>699</v>
      </c>
      <c r="B275" s="33" t="s">
        <v>710</v>
      </c>
      <c r="C275" s="33" t="s">
        <v>187</v>
      </c>
      <c r="D275" s="33" t="s">
        <v>3</v>
      </c>
      <c r="E275" s="33" t="s">
        <v>4</v>
      </c>
      <c r="F275" s="33" t="s">
        <v>1</v>
      </c>
      <c r="G275" s="34">
        <f>G276+G280</f>
        <v>9751564.61</v>
      </c>
      <c r="H275" s="34">
        <f>H280</f>
        <v>1466700</v>
      </c>
      <c r="I275" s="106"/>
    </row>
    <row r="276" spans="1:9" s="35" customFormat="1" ht="15.75" outlineLevel="2">
      <c r="A276" s="32" t="s">
        <v>682</v>
      </c>
      <c r="B276" s="33" t="s">
        <v>710</v>
      </c>
      <c r="C276" s="33" t="s">
        <v>187</v>
      </c>
      <c r="D276" s="33" t="s">
        <v>2</v>
      </c>
      <c r="E276" s="33" t="s">
        <v>4</v>
      </c>
      <c r="F276" s="33" t="s">
        <v>1</v>
      </c>
      <c r="G276" s="34">
        <f>G277</f>
        <v>8284864.61</v>
      </c>
      <c r="H276" s="34"/>
      <c r="I276" s="106"/>
    </row>
    <row r="277" spans="1:9" s="35" customFormat="1" ht="15.75" outlineLevel="3">
      <c r="A277" s="32" t="s">
        <v>490</v>
      </c>
      <c r="B277" s="33" t="s">
        <v>710</v>
      </c>
      <c r="C277" s="33" t="s">
        <v>187</v>
      </c>
      <c r="D277" s="33" t="s">
        <v>2</v>
      </c>
      <c r="E277" s="33" t="s">
        <v>11</v>
      </c>
      <c r="F277" s="33" t="s">
        <v>1</v>
      </c>
      <c r="G277" s="34">
        <f>G278</f>
        <v>8284864.61</v>
      </c>
      <c r="H277" s="34"/>
      <c r="I277" s="106"/>
    </row>
    <row r="278" spans="1:8" ht="94.5" outlineLevel="6">
      <c r="A278" s="36" t="s">
        <v>472</v>
      </c>
      <c r="B278" s="37" t="s">
        <v>710</v>
      </c>
      <c r="C278" s="37" t="s">
        <v>187</v>
      </c>
      <c r="D278" s="37" t="s">
        <v>2</v>
      </c>
      <c r="E278" s="37" t="s">
        <v>372</v>
      </c>
      <c r="F278" s="37" t="s">
        <v>1</v>
      </c>
      <c r="G278" s="38">
        <f>G279</f>
        <v>8284864.61</v>
      </c>
      <c r="H278" s="38"/>
    </row>
    <row r="279" spans="1:8" ht="31.5" outlineLevel="7">
      <c r="A279" s="36" t="s">
        <v>690</v>
      </c>
      <c r="B279" s="37" t="s">
        <v>710</v>
      </c>
      <c r="C279" s="37" t="s">
        <v>187</v>
      </c>
      <c r="D279" s="37" t="s">
        <v>2</v>
      </c>
      <c r="E279" s="37" t="s">
        <v>372</v>
      </c>
      <c r="F279" s="37" t="s">
        <v>47</v>
      </c>
      <c r="G279" s="38">
        <v>8284864.61</v>
      </c>
      <c r="H279" s="38"/>
    </row>
    <row r="280" spans="1:9" s="35" customFormat="1" ht="15.75" outlineLevel="2">
      <c r="A280" s="32" t="s">
        <v>684</v>
      </c>
      <c r="B280" s="33" t="s">
        <v>710</v>
      </c>
      <c r="C280" s="33" t="s">
        <v>187</v>
      </c>
      <c r="D280" s="33" t="s">
        <v>22</v>
      </c>
      <c r="E280" s="33" t="s">
        <v>4</v>
      </c>
      <c r="F280" s="33" t="s">
        <v>1</v>
      </c>
      <c r="G280" s="34">
        <f>G281</f>
        <v>1466700</v>
      </c>
      <c r="H280" s="34">
        <f>H281</f>
        <v>1466700</v>
      </c>
      <c r="I280" s="106"/>
    </row>
    <row r="281" spans="1:9" s="35" customFormat="1" ht="63" outlineLevel="3">
      <c r="A281" s="32" t="s">
        <v>652</v>
      </c>
      <c r="B281" s="33" t="s">
        <v>710</v>
      </c>
      <c r="C281" s="33" t="s">
        <v>187</v>
      </c>
      <c r="D281" s="33" t="s">
        <v>22</v>
      </c>
      <c r="E281" s="33" t="s">
        <v>6</v>
      </c>
      <c r="F281" s="33" t="s">
        <v>1</v>
      </c>
      <c r="G281" s="34">
        <f>G282</f>
        <v>1466700</v>
      </c>
      <c r="H281" s="34">
        <f>H282</f>
        <v>1466700</v>
      </c>
      <c r="I281" s="106"/>
    </row>
    <row r="282" spans="1:9" s="35" customFormat="1" ht="31.5" outlineLevel="4">
      <c r="A282" s="32" t="s">
        <v>612</v>
      </c>
      <c r="B282" s="33" t="s">
        <v>710</v>
      </c>
      <c r="C282" s="33" t="s">
        <v>187</v>
      </c>
      <c r="D282" s="33" t="s">
        <v>22</v>
      </c>
      <c r="E282" s="33" t="s">
        <v>43</v>
      </c>
      <c r="F282" s="33" t="s">
        <v>1</v>
      </c>
      <c r="G282" s="34">
        <f>G283+G287</f>
        <v>1466700</v>
      </c>
      <c r="H282" s="34">
        <f>H283+H287</f>
        <v>1466700</v>
      </c>
      <c r="I282" s="106"/>
    </row>
    <row r="283" spans="1:8" ht="47.25" outlineLevel="5">
      <c r="A283" s="36" t="s">
        <v>750</v>
      </c>
      <c r="B283" s="37" t="s">
        <v>710</v>
      </c>
      <c r="C283" s="37" t="s">
        <v>187</v>
      </c>
      <c r="D283" s="37" t="s">
        <v>22</v>
      </c>
      <c r="E283" s="37" t="s">
        <v>398</v>
      </c>
      <c r="F283" s="37" t="s">
        <v>1</v>
      </c>
      <c r="G283" s="38">
        <f>G284</f>
        <v>1321500</v>
      </c>
      <c r="H283" s="38">
        <f>H284</f>
        <v>1321500</v>
      </c>
    </row>
    <row r="284" spans="1:8" ht="63" outlineLevel="6">
      <c r="A284" s="36" t="s">
        <v>484</v>
      </c>
      <c r="B284" s="37" t="s">
        <v>710</v>
      </c>
      <c r="C284" s="37" t="s">
        <v>187</v>
      </c>
      <c r="D284" s="37" t="s">
        <v>22</v>
      </c>
      <c r="E284" s="37" t="s">
        <v>399</v>
      </c>
      <c r="F284" s="37" t="s">
        <v>1</v>
      </c>
      <c r="G284" s="38">
        <f>G285+G286</f>
        <v>1321500</v>
      </c>
      <c r="H284" s="38">
        <f>H285+H286</f>
        <v>1321500</v>
      </c>
    </row>
    <row r="285" spans="1:8" ht="94.5" outlineLevel="7">
      <c r="A285" s="36" t="s">
        <v>704</v>
      </c>
      <c r="B285" s="37" t="s">
        <v>710</v>
      </c>
      <c r="C285" s="37" t="s">
        <v>187</v>
      </c>
      <c r="D285" s="37" t="s">
        <v>22</v>
      </c>
      <c r="E285" s="37" t="s">
        <v>399</v>
      </c>
      <c r="F285" s="37" t="s">
        <v>10</v>
      </c>
      <c r="G285" s="38">
        <f>1185628.17+19000+21807.48</f>
        <v>1226435.65</v>
      </c>
      <c r="H285" s="38">
        <f>G285</f>
        <v>1226435.65</v>
      </c>
    </row>
    <row r="286" spans="1:8" ht="31.5" outlineLevel="7">
      <c r="A286" s="36" t="s">
        <v>689</v>
      </c>
      <c r="B286" s="37" t="s">
        <v>710</v>
      </c>
      <c r="C286" s="37" t="s">
        <v>187</v>
      </c>
      <c r="D286" s="37" t="s">
        <v>22</v>
      </c>
      <c r="E286" s="37" t="s">
        <v>399</v>
      </c>
      <c r="F286" s="37" t="s">
        <v>17</v>
      </c>
      <c r="G286" s="38">
        <f>135871.83-19000-21807.48</f>
        <v>95064.34999999999</v>
      </c>
      <c r="H286" s="38">
        <f>G286</f>
        <v>95064.34999999999</v>
      </c>
    </row>
    <row r="287" spans="1:8" ht="110.25" outlineLevel="5">
      <c r="A287" s="36" t="s">
        <v>751</v>
      </c>
      <c r="B287" s="37" t="s">
        <v>710</v>
      </c>
      <c r="C287" s="37" t="s">
        <v>187</v>
      </c>
      <c r="D287" s="37" t="s">
        <v>22</v>
      </c>
      <c r="E287" s="37" t="s">
        <v>400</v>
      </c>
      <c r="F287" s="37" t="s">
        <v>1</v>
      </c>
      <c r="G287" s="38">
        <f>G288</f>
        <v>145200</v>
      </c>
      <c r="H287" s="38">
        <f>H288</f>
        <v>145200</v>
      </c>
    </row>
    <row r="288" spans="1:8" ht="126" outlineLevel="6">
      <c r="A288" s="36" t="s">
        <v>485</v>
      </c>
      <c r="B288" s="37" t="s">
        <v>710</v>
      </c>
      <c r="C288" s="37" t="s">
        <v>187</v>
      </c>
      <c r="D288" s="37" t="s">
        <v>22</v>
      </c>
      <c r="E288" s="37" t="s">
        <v>401</v>
      </c>
      <c r="F288" s="37" t="s">
        <v>1</v>
      </c>
      <c r="G288" s="38">
        <f>G289+G290</f>
        <v>145200</v>
      </c>
      <c r="H288" s="38">
        <f>H289+H290</f>
        <v>145200</v>
      </c>
    </row>
    <row r="289" spans="1:8" ht="94.5" outlineLevel="7">
      <c r="A289" s="36" t="s">
        <v>704</v>
      </c>
      <c r="B289" s="37" t="s">
        <v>710</v>
      </c>
      <c r="C289" s="37" t="s">
        <v>187</v>
      </c>
      <c r="D289" s="37" t="s">
        <v>22</v>
      </c>
      <c r="E289" s="37" t="s">
        <v>401</v>
      </c>
      <c r="F289" s="37" t="s">
        <v>10</v>
      </c>
      <c r="G289" s="38">
        <v>128488.7</v>
      </c>
      <c r="H289" s="38">
        <f>G289</f>
        <v>128488.7</v>
      </c>
    </row>
    <row r="290" spans="1:8" ht="31.5" outlineLevel="7">
      <c r="A290" s="36" t="s">
        <v>689</v>
      </c>
      <c r="B290" s="37" t="s">
        <v>710</v>
      </c>
      <c r="C290" s="37" t="s">
        <v>187</v>
      </c>
      <c r="D290" s="37" t="s">
        <v>22</v>
      </c>
      <c r="E290" s="37" t="s">
        <v>401</v>
      </c>
      <c r="F290" s="37" t="s">
        <v>17</v>
      </c>
      <c r="G290" s="38">
        <v>16711.3</v>
      </c>
      <c r="H290" s="38">
        <f>G290</f>
        <v>16711.3</v>
      </c>
    </row>
    <row r="291" spans="1:9" s="35" customFormat="1" ht="15.75" outlineLevel="1">
      <c r="A291" s="32" t="s">
        <v>701</v>
      </c>
      <c r="B291" s="33" t="s">
        <v>710</v>
      </c>
      <c r="C291" s="33" t="s">
        <v>192</v>
      </c>
      <c r="D291" s="33" t="s">
        <v>3</v>
      </c>
      <c r="E291" s="33" t="s">
        <v>4</v>
      </c>
      <c r="F291" s="33" t="s">
        <v>1</v>
      </c>
      <c r="G291" s="34">
        <f aca="true" t="shared" si="1" ref="G291:G296">G292</f>
        <v>419025.5</v>
      </c>
      <c r="H291" s="34"/>
      <c r="I291" s="106"/>
    </row>
    <row r="292" spans="1:9" s="35" customFormat="1" ht="15.75" outlineLevel="2">
      <c r="A292" s="32" t="s">
        <v>686</v>
      </c>
      <c r="B292" s="33" t="s">
        <v>710</v>
      </c>
      <c r="C292" s="33" t="s">
        <v>192</v>
      </c>
      <c r="D292" s="33" t="s">
        <v>5</v>
      </c>
      <c r="E292" s="33" t="s">
        <v>4</v>
      </c>
      <c r="F292" s="33" t="s">
        <v>1</v>
      </c>
      <c r="G292" s="34">
        <f t="shared" si="1"/>
        <v>419025.5</v>
      </c>
      <c r="H292" s="34"/>
      <c r="I292" s="106"/>
    </row>
    <row r="293" spans="1:9" s="35" customFormat="1" ht="47.25" outlineLevel="3">
      <c r="A293" s="32" t="s">
        <v>655</v>
      </c>
      <c r="B293" s="33" t="s">
        <v>710</v>
      </c>
      <c r="C293" s="33" t="s">
        <v>192</v>
      </c>
      <c r="D293" s="33" t="s">
        <v>5</v>
      </c>
      <c r="E293" s="33" t="s">
        <v>90</v>
      </c>
      <c r="F293" s="33" t="s">
        <v>1</v>
      </c>
      <c r="G293" s="34">
        <f t="shared" si="1"/>
        <v>419025.5</v>
      </c>
      <c r="H293" s="34"/>
      <c r="I293" s="106"/>
    </row>
    <row r="294" spans="1:9" s="35" customFormat="1" ht="78.75" outlineLevel="4">
      <c r="A294" s="32" t="s">
        <v>650</v>
      </c>
      <c r="B294" s="33" t="s">
        <v>710</v>
      </c>
      <c r="C294" s="33" t="s">
        <v>192</v>
      </c>
      <c r="D294" s="33" t="s">
        <v>5</v>
      </c>
      <c r="E294" s="33" t="s">
        <v>407</v>
      </c>
      <c r="F294" s="33" t="s">
        <v>1</v>
      </c>
      <c r="G294" s="34">
        <f t="shared" si="1"/>
        <v>419025.5</v>
      </c>
      <c r="H294" s="34"/>
      <c r="I294" s="106"/>
    </row>
    <row r="295" spans="1:8" ht="63" outlineLevel="5">
      <c r="A295" s="36" t="s">
        <v>752</v>
      </c>
      <c r="B295" s="37" t="s">
        <v>710</v>
      </c>
      <c r="C295" s="37" t="s">
        <v>192</v>
      </c>
      <c r="D295" s="37" t="s">
        <v>5</v>
      </c>
      <c r="E295" s="37" t="s">
        <v>408</v>
      </c>
      <c r="F295" s="37" t="s">
        <v>1</v>
      </c>
      <c r="G295" s="38">
        <f t="shared" si="1"/>
        <v>419025.5</v>
      </c>
      <c r="H295" s="38"/>
    </row>
    <row r="296" spans="1:8" ht="31.5" outlineLevel="6">
      <c r="A296" s="36" t="s">
        <v>441</v>
      </c>
      <c r="B296" s="37" t="s">
        <v>710</v>
      </c>
      <c r="C296" s="37" t="s">
        <v>192</v>
      </c>
      <c r="D296" s="37" t="s">
        <v>5</v>
      </c>
      <c r="E296" s="37" t="s">
        <v>409</v>
      </c>
      <c r="F296" s="37" t="s">
        <v>1</v>
      </c>
      <c r="G296" s="38">
        <f t="shared" si="1"/>
        <v>419025.5</v>
      </c>
      <c r="H296" s="38"/>
    </row>
    <row r="297" spans="1:8" ht="31.5" outlineLevel="7">
      <c r="A297" s="36" t="s">
        <v>689</v>
      </c>
      <c r="B297" s="37" t="s">
        <v>710</v>
      </c>
      <c r="C297" s="37" t="s">
        <v>192</v>
      </c>
      <c r="D297" s="37" t="s">
        <v>5</v>
      </c>
      <c r="E297" s="37" t="s">
        <v>409</v>
      </c>
      <c r="F297" s="37" t="s">
        <v>17</v>
      </c>
      <c r="G297" s="38">
        <f>1425000-1005974.5</f>
        <v>419025.5</v>
      </c>
      <c r="H297" s="38"/>
    </row>
    <row r="298" spans="1:9" s="35" customFormat="1" ht="31.5">
      <c r="A298" s="32" t="s">
        <v>712</v>
      </c>
      <c r="B298" s="33" t="s">
        <v>711</v>
      </c>
      <c r="C298" s="33" t="s">
        <v>3</v>
      </c>
      <c r="D298" s="33" t="s">
        <v>3</v>
      </c>
      <c r="E298" s="33" t="s">
        <v>4</v>
      </c>
      <c r="F298" s="33" t="s">
        <v>1</v>
      </c>
      <c r="G298" s="34">
        <f>G299+G385+G461+G570+G564</f>
        <v>374205948.43</v>
      </c>
      <c r="H298" s="34">
        <f>H299+H385+H461+H570+H564</f>
        <v>56157565.24</v>
      </c>
      <c r="I298" s="106"/>
    </row>
    <row r="299" spans="1:9" s="35" customFormat="1" ht="15.75" outlineLevel="1">
      <c r="A299" s="32" t="s">
        <v>688</v>
      </c>
      <c r="B299" s="33" t="s">
        <v>711</v>
      </c>
      <c r="C299" s="33" t="s">
        <v>2</v>
      </c>
      <c r="D299" s="33" t="s">
        <v>3</v>
      </c>
      <c r="E299" s="33" t="s">
        <v>4</v>
      </c>
      <c r="F299" s="33" t="s">
        <v>1</v>
      </c>
      <c r="G299" s="34">
        <f>G300+G323</f>
        <v>54753480.54000001</v>
      </c>
      <c r="H299" s="34"/>
      <c r="I299" s="106"/>
    </row>
    <row r="300" spans="1:9" s="35" customFormat="1" ht="78.75" outlineLevel="2">
      <c r="A300" s="32" t="s">
        <v>661</v>
      </c>
      <c r="B300" s="33" t="s">
        <v>711</v>
      </c>
      <c r="C300" s="33" t="s">
        <v>2</v>
      </c>
      <c r="D300" s="33" t="s">
        <v>22</v>
      </c>
      <c r="E300" s="33" t="s">
        <v>4</v>
      </c>
      <c r="F300" s="33" t="s">
        <v>1</v>
      </c>
      <c r="G300" s="34">
        <f>G301</f>
        <v>12641917.28</v>
      </c>
      <c r="H300" s="34"/>
      <c r="I300" s="106"/>
    </row>
    <row r="301" spans="1:9" s="35" customFormat="1" ht="63" outlineLevel="3">
      <c r="A301" s="32" t="s">
        <v>652</v>
      </c>
      <c r="B301" s="33" t="s">
        <v>711</v>
      </c>
      <c r="C301" s="33" t="s">
        <v>2</v>
      </c>
      <c r="D301" s="33" t="s">
        <v>22</v>
      </c>
      <c r="E301" s="33" t="s">
        <v>6</v>
      </c>
      <c r="F301" s="33" t="s">
        <v>1</v>
      </c>
      <c r="G301" s="34">
        <f>G302+G311</f>
        <v>12641917.28</v>
      </c>
      <c r="H301" s="34"/>
      <c r="I301" s="106"/>
    </row>
    <row r="302" spans="1:9" s="35" customFormat="1" ht="47.25" outlineLevel="4">
      <c r="A302" s="32" t="s">
        <v>613</v>
      </c>
      <c r="B302" s="33" t="s">
        <v>711</v>
      </c>
      <c r="C302" s="33" t="s">
        <v>2</v>
      </c>
      <c r="D302" s="33" t="s">
        <v>22</v>
      </c>
      <c r="E302" s="33" t="s">
        <v>51</v>
      </c>
      <c r="F302" s="33" t="s">
        <v>1</v>
      </c>
      <c r="G302" s="34">
        <f>G303</f>
        <v>12567017.28</v>
      </c>
      <c r="H302" s="34"/>
      <c r="I302" s="106"/>
    </row>
    <row r="303" spans="1:8" ht="31.5" outlineLevel="5">
      <c r="A303" s="36" t="s">
        <v>753</v>
      </c>
      <c r="B303" s="37" t="s">
        <v>711</v>
      </c>
      <c r="C303" s="37" t="s">
        <v>2</v>
      </c>
      <c r="D303" s="37" t="s">
        <v>22</v>
      </c>
      <c r="E303" s="37" t="s">
        <v>52</v>
      </c>
      <c r="F303" s="37" t="s">
        <v>1</v>
      </c>
      <c r="G303" s="38">
        <f>G304+G306+G309</f>
        <v>12567017.28</v>
      </c>
      <c r="H303" s="38"/>
    </row>
    <row r="304" spans="1:8" ht="31.5" outlineLevel="6">
      <c r="A304" s="36" t="s">
        <v>434</v>
      </c>
      <c r="B304" s="37" t="s">
        <v>711</v>
      </c>
      <c r="C304" s="37" t="s">
        <v>2</v>
      </c>
      <c r="D304" s="37" t="s">
        <v>22</v>
      </c>
      <c r="E304" s="37" t="s">
        <v>53</v>
      </c>
      <c r="F304" s="37" t="s">
        <v>1</v>
      </c>
      <c r="G304" s="38">
        <f>G305</f>
        <v>12315527.28</v>
      </c>
      <c r="H304" s="38"/>
    </row>
    <row r="305" spans="1:8" ht="94.5" outlineLevel="7">
      <c r="A305" s="36" t="s">
        <v>704</v>
      </c>
      <c r="B305" s="37" t="s">
        <v>711</v>
      </c>
      <c r="C305" s="37" t="s">
        <v>2</v>
      </c>
      <c r="D305" s="37" t="s">
        <v>22</v>
      </c>
      <c r="E305" s="37" t="s">
        <v>53</v>
      </c>
      <c r="F305" s="37" t="s">
        <v>10</v>
      </c>
      <c r="G305" s="38">
        <f>11794269.84+521257.44</f>
        <v>12315527.28</v>
      </c>
      <c r="H305" s="38"/>
    </row>
    <row r="306" spans="1:8" ht="31.5" outlineLevel="6">
      <c r="A306" s="36" t="s">
        <v>430</v>
      </c>
      <c r="B306" s="37" t="s">
        <v>711</v>
      </c>
      <c r="C306" s="37" t="s">
        <v>2</v>
      </c>
      <c r="D306" s="37" t="s">
        <v>22</v>
      </c>
      <c r="E306" s="37" t="s">
        <v>54</v>
      </c>
      <c r="F306" s="37" t="s">
        <v>1</v>
      </c>
      <c r="G306" s="38">
        <f>G307+G308</f>
        <v>2525</v>
      </c>
      <c r="H306" s="38"/>
    </row>
    <row r="307" spans="1:8" ht="94.5" outlineLevel="7">
      <c r="A307" s="36" t="s">
        <v>704</v>
      </c>
      <c r="B307" s="37" t="s">
        <v>711</v>
      </c>
      <c r="C307" s="37" t="s">
        <v>2</v>
      </c>
      <c r="D307" s="37" t="s">
        <v>22</v>
      </c>
      <c r="E307" s="37" t="s">
        <v>54</v>
      </c>
      <c r="F307" s="37" t="s">
        <v>10</v>
      </c>
      <c r="G307" s="38">
        <f>900-375</f>
        <v>525</v>
      </c>
      <c r="H307" s="38"/>
    </row>
    <row r="308" spans="1:8" ht="31.5" outlineLevel="7">
      <c r="A308" s="36" t="s">
        <v>689</v>
      </c>
      <c r="B308" s="37" t="s">
        <v>711</v>
      </c>
      <c r="C308" s="37" t="s">
        <v>2</v>
      </c>
      <c r="D308" s="37" t="s">
        <v>22</v>
      </c>
      <c r="E308" s="37" t="s">
        <v>54</v>
      </c>
      <c r="F308" s="37" t="s">
        <v>17</v>
      </c>
      <c r="G308" s="38">
        <f>2000</f>
        <v>2000</v>
      </c>
      <c r="H308" s="38"/>
    </row>
    <row r="309" spans="1:8" ht="78.75" outlineLevel="6">
      <c r="A309" s="36" t="s">
        <v>432</v>
      </c>
      <c r="B309" s="37" t="s">
        <v>711</v>
      </c>
      <c r="C309" s="37" t="s">
        <v>2</v>
      </c>
      <c r="D309" s="37" t="s">
        <v>22</v>
      </c>
      <c r="E309" s="37" t="s">
        <v>55</v>
      </c>
      <c r="F309" s="37" t="s">
        <v>1</v>
      </c>
      <c r="G309" s="38">
        <f>G310</f>
        <v>248965</v>
      </c>
      <c r="H309" s="38"/>
    </row>
    <row r="310" spans="1:8" ht="94.5" outlineLevel="7">
      <c r="A310" s="36" t="s">
        <v>704</v>
      </c>
      <c r="B310" s="37" t="s">
        <v>711</v>
      </c>
      <c r="C310" s="37" t="s">
        <v>2</v>
      </c>
      <c r="D310" s="37" t="s">
        <v>22</v>
      </c>
      <c r="E310" s="37" t="s">
        <v>55</v>
      </c>
      <c r="F310" s="37" t="s">
        <v>10</v>
      </c>
      <c r="G310" s="38">
        <v>248965</v>
      </c>
      <c r="H310" s="38"/>
    </row>
    <row r="311" spans="1:9" s="35" customFormat="1" ht="31.5" outlineLevel="4">
      <c r="A311" s="32" t="s">
        <v>609</v>
      </c>
      <c r="B311" s="33" t="s">
        <v>711</v>
      </c>
      <c r="C311" s="33" t="s">
        <v>2</v>
      </c>
      <c r="D311" s="33" t="s">
        <v>22</v>
      </c>
      <c r="E311" s="33" t="s">
        <v>7</v>
      </c>
      <c r="F311" s="33" t="s">
        <v>1</v>
      </c>
      <c r="G311" s="34">
        <f>G312+G316+G319</f>
        <v>74900</v>
      </c>
      <c r="H311" s="34"/>
      <c r="I311" s="106"/>
    </row>
    <row r="312" spans="1:8" ht="63" outlineLevel="5">
      <c r="A312" s="36" t="s">
        <v>723</v>
      </c>
      <c r="B312" s="37" t="s">
        <v>711</v>
      </c>
      <c r="C312" s="37" t="s">
        <v>2</v>
      </c>
      <c r="D312" s="37" t="s">
        <v>22</v>
      </c>
      <c r="E312" s="37" t="s">
        <v>15</v>
      </c>
      <c r="F312" s="37" t="s">
        <v>1</v>
      </c>
      <c r="G312" s="38">
        <f>G313</f>
        <v>9899.999999999993</v>
      </c>
      <c r="H312" s="38"/>
    </row>
    <row r="313" spans="1:8" ht="31.5" outlineLevel="6">
      <c r="A313" s="36" t="s">
        <v>430</v>
      </c>
      <c r="B313" s="37" t="s">
        <v>711</v>
      </c>
      <c r="C313" s="37" t="s">
        <v>2</v>
      </c>
      <c r="D313" s="37" t="s">
        <v>22</v>
      </c>
      <c r="E313" s="37" t="s">
        <v>16</v>
      </c>
      <c r="F313" s="37" t="s">
        <v>1</v>
      </c>
      <c r="G313" s="38">
        <f>G315+G314</f>
        <v>9899.999999999993</v>
      </c>
      <c r="H313" s="38"/>
    </row>
    <row r="314" spans="1:8" ht="94.5" hidden="1" outlineLevel="7">
      <c r="A314" s="36" t="s">
        <v>704</v>
      </c>
      <c r="B314" s="37" t="s">
        <v>711</v>
      </c>
      <c r="C314" s="37" t="s">
        <v>2</v>
      </c>
      <c r="D314" s="37" t="s">
        <v>22</v>
      </c>
      <c r="E314" s="37" t="s">
        <v>16</v>
      </c>
      <c r="F314" s="37" t="s">
        <v>10</v>
      </c>
      <c r="G314" s="38">
        <f>13200-13200</f>
        <v>0</v>
      </c>
      <c r="H314" s="38"/>
    </row>
    <row r="315" spans="1:8" ht="31.5" outlineLevel="7">
      <c r="A315" s="36" t="s">
        <v>689</v>
      </c>
      <c r="B315" s="37" t="s">
        <v>711</v>
      </c>
      <c r="C315" s="37" t="s">
        <v>2</v>
      </c>
      <c r="D315" s="37" t="s">
        <v>22</v>
      </c>
      <c r="E315" s="37" t="s">
        <v>16</v>
      </c>
      <c r="F315" s="37" t="s">
        <v>17</v>
      </c>
      <c r="G315" s="38">
        <f>70001.4-2000-58101.4</f>
        <v>9899.999999999993</v>
      </c>
      <c r="H315" s="38"/>
    </row>
    <row r="316" spans="1:8" ht="15.75" outlineLevel="5">
      <c r="A316" s="36" t="s">
        <v>724</v>
      </c>
      <c r="B316" s="37" t="s">
        <v>711</v>
      </c>
      <c r="C316" s="37" t="s">
        <v>2</v>
      </c>
      <c r="D316" s="37" t="s">
        <v>22</v>
      </c>
      <c r="E316" s="37" t="s">
        <v>18</v>
      </c>
      <c r="F316" s="37" t="s">
        <v>1</v>
      </c>
      <c r="G316" s="38">
        <f>G317</f>
        <v>65000</v>
      </c>
      <c r="H316" s="38"/>
    </row>
    <row r="317" spans="1:8" ht="31.5" outlineLevel="6">
      <c r="A317" s="36" t="s">
        <v>430</v>
      </c>
      <c r="B317" s="37" t="s">
        <v>711</v>
      </c>
      <c r="C317" s="37" t="s">
        <v>2</v>
      </c>
      <c r="D317" s="37" t="s">
        <v>22</v>
      </c>
      <c r="E317" s="37" t="s">
        <v>19</v>
      </c>
      <c r="F317" s="37" t="s">
        <v>1</v>
      </c>
      <c r="G317" s="38">
        <f>G318</f>
        <v>65000</v>
      </c>
      <c r="H317" s="38"/>
    </row>
    <row r="318" spans="1:8" ht="31.5" outlineLevel="7">
      <c r="A318" s="36" t="s">
        <v>689</v>
      </c>
      <c r="B318" s="37" t="s">
        <v>711</v>
      </c>
      <c r="C318" s="37" t="s">
        <v>2</v>
      </c>
      <c r="D318" s="37" t="s">
        <v>22</v>
      </c>
      <c r="E318" s="37" t="s">
        <v>19</v>
      </c>
      <c r="F318" s="37" t="s">
        <v>17</v>
      </c>
      <c r="G318" s="38">
        <f>78000-13000</f>
        <v>65000</v>
      </c>
      <c r="H318" s="38"/>
    </row>
    <row r="319" spans="1:8" ht="47.25" hidden="1" outlineLevel="5">
      <c r="A319" s="36" t="s">
        <v>722</v>
      </c>
      <c r="B319" s="37" t="s">
        <v>711</v>
      </c>
      <c r="C319" s="37" t="s">
        <v>2</v>
      </c>
      <c r="D319" s="37" t="s">
        <v>22</v>
      </c>
      <c r="E319" s="37" t="s">
        <v>8</v>
      </c>
      <c r="F319" s="37" t="s">
        <v>1</v>
      </c>
      <c r="G319" s="38">
        <f>G320</f>
        <v>0</v>
      </c>
      <c r="H319" s="38"/>
    </row>
    <row r="320" spans="1:8" ht="31.5" hidden="1" outlineLevel="6">
      <c r="A320" s="36" t="s">
        <v>430</v>
      </c>
      <c r="B320" s="37" t="s">
        <v>711</v>
      </c>
      <c r="C320" s="37" t="s">
        <v>2</v>
      </c>
      <c r="D320" s="37" t="s">
        <v>22</v>
      </c>
      <c r="E320" s="37" t="s">
        <v>9</v>
      </c>
      <c r="F320" s="37" t="s">
        <v>1</v>
      </c>
      <c r="G320" s="38">
        <f>G321+G322</f>
        <v>0</v>
      </c>
      <c r="H320" s="38"/>
    </row>
    <row r="321" spans="1:8" ht="94.5" hidden="1" outlineLevel="7">
      <c r="A321" s="36" t="s">
        <v>704</v>
      </c>
      <c r="B321" s="37" t="s">
        <v>711</v>
      </c>
      <c r="C321" s="37" t="s">
        <v>2</v>
      </c>
      <c r="D321" s="37" t="s">
        <v>22</v>
      </c>
      <c r="E321" s="37" t="s">
        <v>9</v>
      </c>
      <c r="F321" s="37" t="s">
        <v>10</v>
      </c>
      <c r="G321" s="38">
        <f>48910.04-48910.04</f>
        <v>0</v>
      </c>
      <c r="H321" s="38"/>
    </row>
    <row r="322" spans="1:8" ht="31.5" hidden="1" outlineLevel="7">
      <c r="A322" s="36" t="s">
        <v>689</v>
      </c>
      <c r="B322" s="37" t="s">
        <v>711</v>
      </c>
      <c r="C322" s="37" t="s">
        <v>2</v>
      </c>
      <c r="D322" s="37" t="s">
        <v>22</v>
      </c>
      <c r="E322" s="37" t="s">
        <v>9</v>
      </c>
      <c r="F322" s="37" t="s">
        <v>17</v>
      </c>
      <c r="G322" s="38">
        <f>45000-45000</f>
        <v>0</v>
      </c>
      <c r="H322" s="38"/>
    </row>
    <row r="323" spans="1:9" s="35" customFormat="1" ht="15.75" outlineLevel="2" collapsed="1">
      <c r="A323" s="32" t="s">
        <v>664</v>
      </c>
      <c r="B323" s="33" t="s">
        <v>711</v>
      </c>
      <c r="C323" s="33" t="s">
        <v>2</v>
      </c>
      <c r="D323" s="33" t="s">
        <v>66</v>
      </c>
      <c r="E323" s="33" t="s">
        <v>4</v>
      </c>
      <c r="F323" s="33" t="s">
        <v>1</v>
      </c>
      <c r="G323" s="34">
        <f>G324+G333+G340+G348+G379</f>
        <v>42111563.260000005</v>
      </c>
      <c r="H323" s="34"/>
      <c r="I323" s="106"/>
    </row>
    <row r="324" spans="1:9" s="35" customFormat="1" ht="47.25" outlineLevel="3">
      <c r="A324" s="32" t="s">
        <v>654</v>
      </c>
      <c r="B324" s="33" t="s">
        <v>711</v>
      </c>
      <c r="C324" s="33" t="s">
        <v>2</v>
      </c>
      <c r="D324" s="33" t="s">
        <v>66</v>
      </c>
      <c r="E324" s="33" t="s">
        <v>71</v>
      </c>
      <c r="F324" s="33" t="s">
        <v>1</v>
      </c>
      <c r="G324" s="34">
        <f>G329+G325</f>
        <v>1742247.98</v>
      </c>
      <c r="H324" s="34"/>
      <c r="I324" s="106"/>
    </row>
    <row r="325" spans="1:9" s="35" customFormat="1" ht="47.25" outlineLevel="3">
      <c r="A325" s="32" t="s">
        <v>616</v>
      </c>
      <c r="B325" s="33" t="s">
        <v>711</v>
      </c>
      <c r="C325" s="33" t="s">
        <v>2</v>
      </c>
      <c r="D325" s="33" t="s">
        <v>66</v>
      </c>
      <c r="E325" s="33" t="s">
        <v>72</v>
      </c>
      <c r="F325" s="33" t="s">
        <v>1</v>
      </c>
      <c r="G325" s="34">
        <f>G326</f>
        <v>1455247.98</v>
      </c>
      <c r="H325" s="34"/>
      <c r="I325" s="106"/>
    </row>
    <row r="326" spans="1:9" s="35" customFormat="1" ht="63" outlineLevel="3">
      <c r="A326" s="36" t="s">
        <v>954</v>
      </c>
      <c r="B326" s="37" t="s">
        <v>711</v>
      </c>
      <c r="C326" s="37" t="s">
        <v>2</v>
      </c>
      <c r="D326" s="37" t="s">
        <v>66</v>
      </c>
      <c r="E326" s="37" t="s">
        <v>955</v>
      </c>
      <c r="F326" s="37" t="s">
        <v>1</v>
      </c>
      <c r="G326" s="38">
        <f>G327</f>
        <v>1455247.98</v>
      </c>
      <c r="H326" s="38"/>
      <c r="I326" s="106"/>
    </row>
    <row r="327" spans="1:9" s="35" customFormat="1" ht="31.5" outlineLevel="3">
      <c r="A327" s="36" t="s">
        <v>441</v>
      </c>
      <c r="B327" s="37" t="s">
        <v>711</v>
      </c>
      <c r="C327" s="37" t="s">
        <v>2</v>
      </c>
      <c r="D327" s="37" t="s">
        <v>66</v>
      </c>
      <c r="E327" s="37" t="s">
        <v>956</v>
      </c>
      <c r="F327" s="37" t="s">
        <v>1</v>
      </c>
      <c r="G327" s="38">
        <f>G328</f>
        <v>1455247.98</v>
      </c>
      <c r="H327" s="38"/>
      <c r="I327" s="106"/>
    </row>
    <row r="328" spans="1:9" s="35" customFormat="1" ht="31.5" outlineLevel="3">
      <c r="A328" s="36" t="s">
        <v>689</v>
      </c>
      <c r="B328" s="37" t="s">
        <v>711</v>
      </c>
      <c r="C328" s="37" t="s">
        <v>2</v>
      </c>
      <c r="D328" s="37" t="s">
        <v>66</v>
      </c>
      <c r="E328" s="37" t="s">
        <v>956</v>
      </c>
      <c r="F328" s="37" t="s">
        <v>17</v>
      </c>
      <c r="G328" s="38">
        <f>1455247.98</f>
        <v>1455247.98</v>
      </c>
      <c r="H328" s="38"/>
      <c r="I328" s="106"/>
    </row>
    <row r="329" spans="1:9" s="35" customFormat="1" ht="47.25" outlineLevel="4">
      <c r="A329" s="32" t="s">
        <v>617</v>
      </c>
      <c r="B329" s="33" t="s">
        <v>711</v>
      </c>
      <c r="C329" s="33" t="s">
        <v>2</v>
      </c>
      <c r="D329" s="33" t="s">
        <v>66</v>
      </c>
      <c r="E329" s="33" t="s">
        <v>77</v>
      </c>
      <c r="F329" s="33" t="s">
        <v>1</v>
      </c>
      <c r="G329" s="34">
        <f>G330</f>
        <v>287000</v>
      </c>
      <c r="H329" s="34"/>
      <c r="I329" s="106"/>
    </row>
    <row r="330" spans="1:8" ht="63" outlineLevel="5">
      <c r="A330" s="36" t="s">
        <v>754</v>
      </c>
      <c r="B330" s="37" t="s">
        <v>711</v>
      </c>
      <c r="C330" s="37" t="s">
        <v>2</v>
      </c>
      <c r="D330" s="37" t="s">
        <v>66</v>
      </c>
      <c r="E330" s="37" t="s">
        <v>78</v>
      </c>
      <c r="F330" s="37" t="s">
        <v>1</v>
      </c>
      <c r="G330" s="38">
        <f>G331</f>
        <v>287000</v>
      </c>
      <c r="H330" s="38"/>
    </row>
    <row r="331" spans="1:8" ht="31.5" outlineLevel="6">
      <c r="A331" s="36" t="s">
        <v>441</v>
      </c>
      <c r="B331" s="37" t="s">
        <v>711</v>
      </c>
      <c r="C331" s="37" t="s">
        <v>2</v>
      </c>
      <c r="D331" s="37" t="s">
        <v>66</v>
      </c>
      <c r="E331" s="37" t="s">
        <v>79</v>
      </c>
      <c r="F331" s="37" t="s">
        <v>1</v>
      </c>
      <c r="G331" s="38">
        <f>G332</f>
        <v>287000</v>
      </c>
      <c r="H331" s="38"/>
    </row>
    <row r="332" spans="1:8" ht="31.5" outlineLevel="7">
      <c r="A332" s="36" t="s">
        <v>689</v>
      </c>
      <c r="B332" s="37" t="s">
        <v>711</v>
      </c>
      <c r="C332" s="37" t="s">
        <v>2</v>
      </c>
      <c r="D332" s="37" t="s">
        <v>66</v>
      </c>
      <c r="E332" s="37" t="s">
        <v>79</v>
      </c>
      <c r="F332" s="37" t="s">
        <v>17</v>
      </c>
      <c r="G332" s="38">
        <v>287000</v>
      </c>
      <c r="H332" s="38"/>
    </row>
    <row r="333" spans="1:9" s="35" customFormat="1" ht="63" outlineLevel="4">
      <c r="A333" s="32" t="s">
        <v>619</v>
      </c>
      <c r="B333" s="33" t="s">
        <v>711</v>
      </c>
      <c r="C333" s="33" t="s">
        <v>2</v>
      </c>
      <c r="D333" s="33" t="s">
        <v>66</v>
      </c>
      <c r="E333" s="33" t="s">
        <v>83</v>
      </c>
      <c r="F333" s="33" t="s">
        <v>1</v>
      </c>
      <c r="G333" s="34">
        <f>G334+G337</f>
        <v>150500</v>
      </c>
      <c r="H333" s="34"/>
      <c r="I333" s="106"/>
    </row>
    <row r="334" spans="1:8" ht="47.25" outlineLevel="5">
      <c r="A334" s="36" t="s">
        <v>755</v>
      </c>
      <c r="B334" s="37" t="s">
        <v>711</v>
      </c>
      <c r="C334" s="37" t="s">
        <v>2</v>
      </c>
      <c r="D334" s="37" t="s">
        <v>66</v>
      </c>
      <c r="E334" s="37" t="s">
        <v>84</v>
      </c>
      <c r="F334" s="37" t="s">
        <v>1</v>
      </c>
      <c r="G334" s="38">
        <f>G335</f>
        <v>50500</v>
      </c>
      <c r="H334" s="38"/>
    </row>
    <row r="335" spans="1:8" ht="31.5" outlineLevel="6">
      <c r="A335" s="36" t="s">
        <v>441</v>
      </c>
      <c r="B335" s="37" t="s">
        <v>711</v>
      </c>
      <c r="C335" s="37" t="s">
        <v>2</v>
      </c>
      <c r="D335" s="37" t="s">
        <v>66</v>
      </c>
      <c r="E335" s="37" t="s">
        <v>85</v>
      </c>
      <c r="F335" s="37" t="s">
        <v>1</v>
      </c>
      <c r="G335" s="38">
        <f>G336</f>
        <v>50500</v>
      </c>
      <c r="H335" s="38"/>
    </row>
    <row r="336" spans="1:8" ht="31.5" outlineLevel="7">
      <c r="A336" s="36" t="s">
        <v>689</v>
      </c>
      <c r="B336" s="37" t="s">
        <v>711</v>
      </c>
      <c r="C336" s="37" t="s">
        <v>2</v>
      </c>
      <c r="D336" s="37" t="s">
        <v>66</v>
      </c>
      <c r="E336" s="37" t="s">
        <v>85</v>
      </c>
      <c r="F336" s="37" t="s">
        <v>17</v>
      </c>
      <c r="G336" s="38">
        <v>50500</v>
      </c>
      <c r="H336" s="38"/>
    </row>
    <row r="337" spans="1:8" ht="31.5" outlineLevel="5">
      <c r="A337" s="36" t="s">
        <v>756</v>
      </c>
      <c r="B337" s="37" t="s">
        <v>711</v>
      </c>
      <c r="C337" s="37" t="s">
        <v>2</v>
      </c>
      <c r="D337" s="37" t="s">
        <v>66</v>
      </c>
      <c r="E337" s="37" t="s">
        <v>86</v>
      </c>
      <c r="F337" s="37" t="s">
        <v>1</v>
      </c>
      <c r="G337" s="38">
        <f>G338</f>
        <v>100000</v>
      </c>
      <c r="H337" s="38"/>
    </row>
    <row r="338" spans="1:8" ht="31.5" outlineLevel="6">
      <c r="A338" s="36" t="s">
        <v>441</v>
      </c>
      <c r="B338" s="37" t="s">
        <v>711</v>
      </c>
      <c r="C338" s="37" t="s">
        <v>2</v>
      </c>
      <c r="D338" s="37" t="s">
        <v>66</v>
      </c>
      <c r="E338" s="37" t="s">
        <v>87</v>
      </c>
      <c r="F338" s="37" t="s">
        <v>1</v>
      </c>
      <c r="G338" s="38">
        <f>G339</f>
        <v>100000</v>
      </c>
      <c r="H338" s="38"/>
    </row>
    <row r="339" spans="1:8" ht="31.5" outlineLevel="7">
      <c r="A339" s="36" t="s">
        <v>689</v>
      </c>
      <c r="B339" s="37" t="s">
        <v>711</v>
      </c>
      <c r="C339" s="37" t="s">
        <v>2</v>
      </c>
      <c r="D339" s="37" t="s">
        <v>66</v>
      </c>
      <c r="E339" s="37" t="s">
        <v>87</v>
      </c>
      <c r="F339" s="37" t="s">
        <v>17</v>
      </c>
      <c r="G339" s="38">
        <v>100000</v>
      </c>
      <c r="H339" s="38"/>
    </row>
    <row r="340" spans="1:9" s="35" customFormat="1" ht="47.25" outlineLevel="3">
      <c r="A340" s="32" t="s">
        <v>655</v>
      </c>
      <c r="B340" s="33" t="s">
        <v>711</v>
      </c>
      <c r="C340" s="33" t="s">
        <v>2</v>
      </c>
      <c r="D340" s="33" t="s">
        <v>66</v>
      </c>
      <c r="E340" s="33" t="s">
        <v>90</v>
      </c>
      <c r="F340" s="33" t="s">
        <v>1</v>
      </c>
      <c r="G340" s="34">
        <f>G341</f>
        <v>1266094.32</v>
      </c>
      <c r="H340" s="34"/>
      <c r="I340" s="106"/>
    </row>
    <row r="341" spans="1:9" s="35" customFormat="1" ht="47.25" outlineLevel="4">
      <c r="A341" s="32" t="s">
        <v>620</v>
      </c>
      <c r="B341" s="33" t="s">
        <v>711</v>
      </c>
      <c r="C341" s="33" t="s">
        <v>2</v>
      </c>
      <c r="D341" s="33" t="s">
        <v>66</v>
      </c>
      <c r="E341" s="33" t="s">
        <v>91</v>
      </c>
      <c r="F341" s="33" t="s">
        <v>1</v>
      </c>
      <c r="G341" s="34">
        <f>G342+G345</f>
        <v>1266094.32</v>
      </c>
      <c r="H341" s="34"/>
      <c r="I341" s="106"/>
    </row>
    <row r="342" spans="1:8" ht="47.25" outlineLevel="5">
      <c r="A342" s="36" t="s">
        <v>726</v>
      </c>
      <c r="B342" s="37" t="s">
        <v>711</v>
      </c>
      <c r="C342" s="37" t="s">
        <v>2</v>
      </c>
      <c r="D342" s="37" t="s">
        <v>66</v>
      </c>
      <c r="E342" s="37" t="s">
        <v>94</v>
      </c>
      <c r="F342" s="37" t="s">
        <v>1</v>
      </c>
      <c r="G342" s="38">
        <f>G343</f>
        <v>439304.4</v>
      </c>
      <c r="H342" s="38"/>
    </row>
    <row r="343" spans="1:8" ht="31.5" outlineLevel="6">
      <c r="A343" s="36" t="s">
        <v>441</v>
      </c>
      <c r="B343" s="37" t="s">
        <v>711</v>
      </c>
      <c r="C343" s="37" t="s">
        <v>2</v>
      </c>
      <c r="D343" s="37" t="s">
        <v>66</v>
      </c>
      <c r="E343" s="37" t="s">
        <v>95</v>
      </c>
      <c r="F343" s="37" t="s">
        <v>1</v>
      </c>
      <c r="G343" s="38">
        <f>G344</f>
        <v>439304.4</v>
      </c>
      <c r="H343" s="38"/>
    </row>
    <row r="344" spans="1:8" ht="31.5" outlineLevel="7">
      <c r="A344" s="36" t="s">
        <v>689</v>
      </c>
      <c r="B344" s="37" t="s">
        <v>711</v>
      </c>
      <c r="C344" s="37" t="s">
        <v>2</v>
      </c>
      <c r="D344" s="37" t="s">
        <v>66</v>
      </c>
      <c r="E344" s="37" t="s">
        <v>95</v>
      </c>
      <c r="F344" s="37" t="s">
        <v>17</v>
      </c>
      <c r="G344" s="38">
        <f>728975.4-289671</f>
        <v>439304.4</v>
      </c>
      <c r="H344" s="38"/>
    </row>
    <row r="345" spans="1:8" ht="31.5" outlineLevel="5">
      <c r="A345" s="36" t="s">
        <v>734</v>
      </c>
      <c r="B345" s="37" t="s">
        <v>711</v>
      </c>
      <c r="C345" s="37" t="s">
        <v>2</v>
      </c>
      <c r="D345" s="37" t="s">
        <v>66</v>
      </c>
      <c r="E345" s="37" t="s">
        <v>100</v>
      </c>
      <c r="F345" s="37" t="s">
        <v>1</v>
      </c>
      <c r="G345" s="38">
        <f>G346</f>
        <v>826789.92</v>
      </c>
      <c r="H345" s="38"/>
    </row>
    <row r="346" spans="1:8" ht="31.5" outlineLevel="6">
      <c r="A346" s="36" t="s">
        <v>441</v>
      </c>
      <c r="B346" s="37" t="s">
        <v>711</v>
      </c>
      <c r="C346" s="37" t="s">
        <v>2</v>
      </c>
      <c r="D346" s="37" t="s">
        <v>66</v>
      </c>
      <c r="E346" s="37" t="s">
        <v>101</v>
      </c>
      <c r="F346" s="37" t="s">
        <v>1</v>
      </c>
      <c r="G346" s="38">
        <f>G347</f>
        <v>826789.92</v>
      </c>
      <c r="H346" s="38"/>
    </row>
    <row r="347" spans="1:8" ht="31.5" outlineLevel="7">
      <c r="A347" s="36" t="s">
        <v>689</v>
      </c>
      <c r="B347" s="37" t="s">
        <v>711</v>
      </c>
      <c r="C347" s="37" t="s">
        <v>2</v>
      </c>
      <c r="D347" s="37" t="s">
        <v>66</v>
      </c>
      <c r="E347" s="37" t="s">
        <v>101</v>
      </c>
      <c r="F347" s="37" t="s">
        <v>17</v>
      </c>
      <c r="G347" s="38">
        <f>715189.92+111600</f>
        <v>826789.92</v>
      </c>
      <c r="H347" s="38"/>
    </row>
    <row r="348" spans="1:9" s="35" customFormat="1" ht="63" outlineLevel="3">
      <c r="A348" s="32" t="s">
        <v>652</v>
      </c>
      <c r="B348" s="33" t="s">
        <v>711</v>
      </c>
      <c r="C348" s="33" t="s">
        <v>2</v>
      </c>
      <c r="D348" s="33" t="s">
        <v>66</v>
      </c>
      <c r="E348" s="33" t="s">
        <v>6</v>
      </c>
      <c r="F348" s="33" t="s">
        <v>1</v>
      </c>
      <c r="G348" s="34">
        <f>G349+G353+G375</f>
        <v>28505062.51</v>
      </c>
      <c r="H348" s="34"/>
      <c r="I348" s="106"/>
    </row>
    <row r="349" spans="1:9" s="35" customFormat="1" ht="47.25" outlineLevel="4">
      <c r="A349" s="32" t="s">
        <v>613</v>
      </c>
      <c r="B349" s="33" t="s">
        <v>711</v>
      </c>
      <c r="C349" s="33" t="s">
        <v>2</v>
      </c>
      <c r="D349" s="33" t="s">
        <v>66</v>
      </c>
      <c r="E349" s="33" t="s">
        <v>51</v>
      </c>
      <c r="F349" s="33" t="s">
        <v>1</v>
      </c>
      <c r="G349" s="34">
        <f>G350</f>
        <v>181941.02000000002</v>
      </c>
      <c r="H349" s="34"/>
      <c r="I349" s="106"/>
    </row>
    <row r="350" spans="1:8" ht="78.75" outlineLevel="5">
      <c r="A350" s="36" t="s">
        <v>757</v>
      </c>
      <c r="B350" s="37" t="s">
        <v>711</v>
      </c>
      <c r="C350" s="37" t="s">
        <v>2</v>
      </c>
      <c r="D350" s="37" t="s">
        <v>66</v>
      </c>
      <c r="E350" s="37" t="s">
        <v>113</v>
      </c>
      <c r="F350" s="37" t="s">
        <v>1</v>
      </c>
      <c r="G350" s="38">
        <f>G351</f>
        <v>181941.02000000002</v>
      </c>
      <c r="H350" s="38"/>
    </row>
    <row r="351" spans="1:8" ht="47.25" outlineLevel="6">
      <c r="A351" s="36" t="s">
        <v>446</v>
      </c>
      <c r="B351" s="37" t="s">
        <v>711</v>
      </c>
      <c r="C351" s="37" t="s">
        <v>2</v>
      </c>
      <c r="D351" s="37" t="s">
        <v>66</v>
      </c>
      <c r="E351" s="37" t="s">
        <v>114</v>
      </c>
      <c r="F351" s="37" t="s">
        <v>1</v>
      </c>
      <c r="G351" s="38">
        <f>G352</f>
        <v>181941.02000000002</v>
      </c>
      <c r="H351" s="38"/>
    </row>
    <row r="352" spans="1:8" ht="31.5" outlineLevel="7">
      <c r="A352" s="36" t="s">
        <v>689</v>
      </c>
      <c r="B352" s="37" t="s">
        <v>711</v>
      </c>
      <c r="C352" s="37" t="s">
        <v>2</v>
      </c>
      <c r="D352" s="37" t="s">
        <v>66</v>
      </c>
      <c r="E352" s="37" t="s">
        <v>114</v>
      </c>
      <c r="F352" s="37" t="s">
        <v>17</v>
      </c>
      <c r="G352" s="38">
        <f>415525.02-280000+46416</f>
        <v>181941.02000000002</v>
      </c>
      <c r="H352" s="38"/>
    </row>
    <row r="353" spans="1:9" s="35" customFormat="1" ht="63" outlineLevel="4">
      <c r="A353" s="32" t="s">
        <v>623</v>
      </c>
      <c r="B353" s="33" t="s">
        <v>711</v>
      </c>
      <c r="C353" s="33" t="s">
        <v>2</v>
      </c>
      <c r="D353" s="33" t="s">
        <v>66</v>
      </c>
      <c r="E353" s="33" t="s">
        <v>119</v>
      </c>
      <c r="F353" s="33" t="s">
        <v>1</v>
      </c>
      <c r="G353" s="34">
        <f>G354+G361+G364+G368+G372</f>
        <v>28277365.490000002</v>
      </c>
      <c r="H353" s="34"/>
      <c r="I353" s="106"/>
    </row>
    <row r="354" spans="1:8" ht="110.25" outlineLevel="5">
      <c r="A354" s="36" t="s">
        <v>758</v>
      </c>
      <c r="B354" s="37" t="s">
        <v>711</v>
      </c>
      <c r="C354" s="37" t="s">
        <v>2</v>
      </c>
      <c r="D354" s="37" t="s">
        <v>66</v>
      </c>
      <c r="E354" s="37" t="s">
        <v>120</v>
      </c>
      <c r="F354" s="37" t="s">
        <v>1</v>
      </c>
      <c r="G354" s="38">
        <f>G355+G359</f>
        <v>20301796.090000004</v>
      </c>
      <c r="H354" s="38"/>
    </row>
    <row r="355" spans="1:8" ht="78.75" outlineLevel="6">
      <c r="A355" s="36" t="s">
        <v>443</v>
      </c>
      <c r="B355" s="37" t="s">
        <v>711</v>
      </c>
      <c r="C355" s="37" t="s">
        <v>2</v>
      </c>
      <c r="D355" s="37" t="s">
        <v>66</v>
      </c>
      <c r="E355" s="37" t="s">
        <v>121</v>
      </c>
      <c r="F355" s="37" t="s">
        <v>1</v>
      </c>
      <c r="G355" s="38">
        <f>G356+G357+G358</f>
        <v>19751490.51</v>
      </c>
      <c r="H355" s="38"/>
    </row>
    <row r="356" spans="1:8" ht="94.5" outlineLevel="7">
      <c r="A356" s="36" t="s">
        <v>704</v>
      </c>
      <c r="B356" s="37" t="s">
        <v>711</v>
      </c>
      <c r="C356" s="37" t="s">
        <v>2</v>
      </c>
      <c r="D356" s="37" t="s">
        <v>66</v>
      </c>
      <c r="E356" s="37" t="s">
        <v>121</v>
      </c>
      <c r="F356" s="37" t="s">
        <v>10</v>
      </c>
      <c r="G356" s="38">
        <f>17709740.98+644722.26+194706.12+17000</f>
        <v>18566169.360000003</v>
      </c>
      <c r="H356" s="38"/>
    </row>
    <row r="357" spans="1:8" ht="31.5" outlineLevel="7">
      <c r="A357" s="36" t="s">
        <v>689</v>
      </c>
      <c r="B357" s="37" t="s">
        <v>711</v>
      </c>
      <c r="C357" s="37" t="s">
        <v>2</v>
      </c>
      <c r="D357" s="37" t="s">
        <v>66</v>
      </c>
      <c r="E357" s="37" t="s">
        <v>121</v>
      </c>
      <c r="F357" s="37" t="s">
        <v>17</v>
      </c>
      <c r="G357" s="38">
        <f>1029349.53-2000-800+172971.62-17000</f>
        <v>1182521.15</v>
      </c>
      <c r="H357" s="38"/>
    </row>
    <row r="358" spans="1:8" ht="15.75" outlineLevel="7">
      <c r="A358" s="19" t="s">
        <v>691</v>
      </c>
      <c r="B358" s="37" t="s">
        <v>711</v>
      </c>
      <c r="C358" s="37" t="s">
        <v>2</v>
      </c>
      <c r="D358" s="37" t="s">
        <v>66</v>
      </c>
      <c r="E358" s="37" t="s">
        <v>121</v>
      </c>
      <c r="F358" s="37" t="s">
        <v>65</v>
      </c>
      <c r="G358" s="38">
        <f>2000+800</f>
        <v>2800</v>
      </c>
      <c r="H358" s="38"/>
    </row>
    <row r="359" spans="1:8" ht="78.75" outlineLevel="6">
      <c r="A359" s="36" t="s">
        <v>432</v>
      </c>
      <c r="B359" s="37" t="s">
        <v>711</v>
      </c>
      <c r="C359" s="37" t="s">
        <v>2</v>
      </c>
      <c r="D359" s="37" t="s">
        <v>66</v>
      </c>
      <c r="E359" s="37" t="s">
        <v>122</v>
      </c>
      <c r="F359" s="37" t="s">
        <v>1</v>
      </c>
      <c r="G359" s="38">
        <f>G360</f>
        <v>550305.5800000001</v>
      </c>
      <c r="H359" s="38"/>
    </row>
    <row r="360" spans="1:8" ht="94.5" outlineLevel="7">
      <c r="A360" s="36" t="s">
        <v>704</v>
      </c>
      <c r="B360" s="37" t="s">
        <v>711</v>
      </c>
      <c r="C360" s="37" t="s">
        <v>2</v>
      </c>
      <c r="D360" s="37" t="s">
        <v>66</v>
      </c>
      <c r="E360" s="37" t="s">
        <v>122</v>
      </c>
      <c r="F360" s="37" t="s">
        <v>10</v>
      </c>
      <c r="G360" s="38">
        <f>445305.58+105000</f>
        <v>550305.5800000001</v>
      </c>
      <c r="H360" s="38"/>
    </row>
    <row r="361" spans="1:8" ht="63" outlineLevel="5">
      <c r="A361" s="36" t="s">
        <v>759</v>
      </c>
      <c r="B361" s="37" t="s">
        <v>711</v>
      </c>
      <c r="C361" s="37" t="s">
        <v>2</v>
      </c>
      <c r="D361" s="37" t="s">
        <v>66</v>
      </c>
      <c r="E361" s="37" t="s">
        <v>123</v>
      </c>
      <c r="F361" s="37" t="s">
        <v>1</v>
      </c>
      <c r="G361" s="38">
        <f>G362</f>
        <v>35908</v>
      </c>
      <c r="H361" s="38"/>
    </row>
    <row r="362" spans="1:8" ht="78.75" outlineLevel="6">
      <c r="A362" s="36" t="s">
        <v>443</v>
      </c>
      <c r="B362" s="37" t="s">
        <v>711</v>
      </c>
      <c r="C362" s="37" t="s">
        <v>2</v>
      </c>
      <c r="D362" s="37" t="s">
        <v>66</v>
      </c>
      <c r="E362" s="37" t="s">
        <v>124</v>
      </c>
      <c r="F362" s="37" t="s">
        <v>1</v>
      </c>
      <c r="G362" s="38">
        <f>G363</f>
        <v>35908</v>
      </c>
      <c r="H362" s="38"/>
    </row>
    <row r="363" spans="1:8" ht="31.5" outlineLevel="7">
      <c r="A363" s="36" t="s">
        <v>689</v>
      </c>
      <c r="B363" s="37" t="s">
        <v>711</v>
      </c>
      <c r="C363" s="37" t="s">
        <v>2</v>
      </c>
      <c r="D363" s="37" t="s">
        <v>66</v>
      </c>
      <c r="E363" s="37" t="s">
        <v>124</v>
      </c>
      <c r="F363" s="37" t="s">
        <v>17</v>
      </c>
      <c r="G363" s="38">
        <v>35908</v>
      </c>
      <c r="H363" s="38"/>
    </row>
    <row r="364" spans="1:8" ht="47.25" outlineLevel="5">
      <c r="A364" s="36" t="s">
        <v>760</v>
      </c>
      <c r="B364" s="37" t="s">
        <v>711</v>
      </c>
      <c r="C364" s="37" t="s">
        <v>2</v>
      </c>
      <c r="D364" s="37" t="s">
        <v>66</v>
      </c>
      <c r="E364" s="37" t="s">
        <v>125</v>
      </c>
      <c r="F364" s="37" t="s">
        <v>1</v>
      </c>
      <c r="G364" s="38">
        <f>G365</f>
        <v>5588721.359999999</v>
      </c>
      <c r="H364" s="38"/>
    </row>
    <row r="365" spans="1:8" ht="78.75" outlineLevel="6">
      <c r="A365" s="36" t="s">
        <v>443</v>
      </c>
      <c r="B365" s="37" t="s">
        <v>711</v>
      </c>
      <c r="C365" s="37" t="s">
        <v>2</v>
      </c>
      <c r="D365" s="37" t="s">
        <v>66</v>
      </c>
      <c r="E365" s="37" t="s">
        <v>126</v>
      </c>
      <c r="F365" s="37" t="s">
        <v>1</v>
      </c>
      <c r="G365" s="38">
        <f>G366+G367</f>
        <v>5588721.359999999</v>
      </c>
      <c r="H365" s="38"/>
    </row>
    <row r="366" spans="1:8" ht="94.5" outlineLevel="7">
      <c r="A366" s="36" t="s">
        <v>704</v>
      </c>
      <c r="B366" s="37" t="s">
        <v>711</v>
      </c>
      <c r="C366" s="37" t="s">
        <v>2</v>
      </c>
      <c r="D366" s="37" t="s">
        <v>66</v>
      </c>
      <c r="E366" s="37" t="s">
        <v>126</v>
      </c>
      <c r="F366" s="37" t="s">
        <v>10</v>
      </c>
      <c r="G366" s="38">
        <v>5040338.6</v>
      </c>
      <c r="H366" s="38"/>
    </row>
    <row r="367" spans="1:8" ht="31.5" outlineLevel="7">
      <c r="A367" s="36" t="s">
        <v>689</v>
      </c>
      <c r="B367" s="37" t="s">
        <v>711</v>
      </c>
      <c r="C367" s="37" t="s">
        <v>2</v>
      </c>
      <c r="D367" s="37" t="s">
        <v>66</v>
      </c>
      <c r="E367" s="37" t="s">
        <v>126</v>
      </c>
      <c r="F367" s="37" t="s">
        <v>17</v>
      </c>
      <c r="G367" s="38">
        <v>548382.76</v>
      </c>
      <c r="H367" s="38"/>
    </row>
    <row r="368" spans="1:8" ht="63" outlineLevel="5">
      <c r="A368" s="36" t="s">
        <v>761</v>
      </c>
      <c r="B368" s="37" t="s">
        <v>711</v>
      </c>
      <c r="C368" s="37" t="s">
        <v>2</v>
      </c>
      <c r="D368" s="37" t="s">
        <v>66</v>
      </c>
      <c r="E368" s="37" t="s">
        <v>127</v>
      </c>
      <c r="F368" s="37" t="s">
        <v>1</v>
      </c>
      <c r="G368" s="38">
        <f>G369</f>
        <v>235380</v>
      </c>
      <c r="H368" s="38"/>
    </row>
    <row r="369" spans="1:8" ht="31.5" outlineLevel="6">
      <c r="A369" s="36" t="s">
        <v>441</v>
      </c>
      <c r="B369" s="37" t="s">
        <v>711</v>
      </c>
      <c r="C369" s="37" t="s">
        <v>2</v>
      </c>
      <c r="D369" s="37" t="s">
        <v>66</v>
      </c>
      <c r="E369" s="37" t="s">
        <v>128</v>
      </c>
      <c r="F369" s="37" t="s">
        <v>1</v>
      </c>
      <c r="G369" s="38">
        <f>G370+G371</f>
        <v>235380</v>
      </c>
      <c r="H369" s="38"/>
    </row>
    <row r="370" spans="1:8" ht="31.5" outlineLevel="7">
      <c r="A370" s="36" t="s">
        <v>690</v>
      </c>
      <c r="B370" s="37" t="s">
        <v>711</v>
      </c>
      <c r="C370" s="37" t="s">
        <v>2</v>
      </c>
      <c r="D370" s="37" t="s">
        <v>66</v>
      </c>
      <c r="E370" s="37" t="s">
        <v>128</v>
      </c>
      <c r="F370" s="37" t="s">
        <v>47</v>
      </c>
      <c r="G370" s="38">
        <f>340380-105000</f>
        <v>235380</v>
      </c>
      <c r="H370" s="38"/>
    </row>
    <row r="371" spans="1:8" ht="15.75" hidden="1" outlineLevel="7">
      <c r="A371" s="36" t="s">
        <v>691</v>
      </c>
      <c r="B371" s="37" t="s">
        <v>711</v>
      </c>
      <c r="C371" s="37" t="s">
        <v>2</v>
      </c>
      <c r="D371" s="37" t="s">
        <v>66</v>
      </c>
      <c r="E371" s="37" t="s">
        <v>128</v>
      </c>
      <c r="F371" s="37" t="s">
        <v>65</v>
      </c>
      <c r="G371" s="38">
        <f>132000-132000</f>
        <v>0</v>
      </c>
      <c r="H371" s="38"/>
    </row>
    <row r="372" spans="1:8" ht="63" outlineLevel="5" collapsed="1">
      <c r="A372" s="36" t="s">
        <v>762</v>
      </c>
      <c r="B372" s="37" t="s">
        <v>711</v>
      </c>
      <c r="C372" s="37" t="s">
        <v>2</v>
      </c>
      <c r="D372" s="37" t="s">
        <v>66</v>
      </c>
      <c r="E372" s="37" t="s">
        <v>129</v>
      </c>
      <c r="F372" s="37" t="s">
        <v>1</v>
      </c>
      <c r="G372" s="38">
        <f>G373</f>
        <v>2115560.04</v>
      </c>
      <c r="H372" s="38"/>
    </row>
    <row r="373" spans="1:8" ht="78.75" outlineLevel="6">
      <c r="A373" s="36" t="s">
        <v>443</v>
      </c>
      <c r="B373" s="37" t="s">
        <v>711</v>
      </c>
      <c r="C373" s="37" t="s">
        <v>2</v>
      </c>
      <c r="D373" s="37" t="s">
        <v>66</v>
      </c>
      <c r="E373" s="37" t="s">
        <v>130</v>
      </c>
      <c r="F373" s="37" t="s">
        <v>1</v>
      </c>
      <c r="G373" s="38">
        <f>G374</f>
        <v>2115560.04</v>
      </c>
      <c r="H373" s="38"/>
    </row>
    <row r="374" spans="1:8" ht="94.5" outlineLevel="7">
      <c r="A374" s="36" t="s">
        <v>704</v>
      </c>
      <c r="B374" s="37" t="s">
        <v>711</v>
      </c>
      <c r="C374" s="37" t="s">
        <v>2</v>
      </c>
      <c r="D374" s="37" t="s">
        <v>66</v>
      </c>
      <c r="E374" s="37" t="s">
        <v>130</v>
      </c>
      <c r="F374" s="37" t="s">
        <v>10</v>
      </c>
      <c r="G374" s="38">
        <v>2115560.04</v>
      </c>
      <c r="H374" s="38"/>
    </row>
    <row r="375" spans="1:9" s="35" customFormat="1" ht="47.25" outlineLevel="4">
      <c r="A375" s="32" t="s">
        <v>624</v>
      </c>
      <c r="B375" s="33" t="s">
        <v>711</v>
      </c>
      <c r="C375" s="33" t="s">
        <v>2</v>
      </c>
      <c r="D375" s="33" t="s">
        <v>66</v>
      </c>
      <c r="E375" s="33" t="s">
        <v>131</v>
      </c>
      <c r="F375" s="33" t="s">
        <v>1</v>
      </c>
      <c r="G375" s="34">
        <f>G376</f>
        <v>45756</v>
      </c>
      <c r="H375" s="34"/>
      <c r="I375" s="106"/>
    </row>
    <row r="376" spans="1:8" ht="31.5" outlineLevel="5">
      <c r="A376" s="36" t="s">
        <v>727</v>
      </c>
      <c r="B376" s="37" t="s">
        <v>711</v>
      </c>
      <c r="C376" s="37" t="s">
        <v>2</v>
      </c>
      <c r="D376" s="37" t="s">
        <v>66</v>
      </c>
      <c r="E376" s="37" t="s">
        <v>138</v>
      </c>
      <c r="F376" s="37" t="s">
        <v>1</v>
      </c>
      <c r="G376" s="38">
        <f>G377</f>
        <v>45756</v>
      </c>
      <c r="H376" s="38"/>
    </row>
    <row r="377" spans="1:8" ht="31.5" outlineLevel="6">
      <c r="A377" s="36" t="s">
        <v>441</v>
      </c>
      <c r="B377" s="37" t="s">
        <v>711</v>
      </c>
      <c r="C377" s="37" t="s">
        <v>2</v>
      </c>
      <c r="D377" s="37" t="s">
        <v>66</v>
      </c>
      <c r="E377" s="37" t="s">
        <v>140</v>
      </c>
      <c r="F377" s="37" t="s">
        <v>1</v>
      </c>
      <c r="G377" s="38">
        <f>G378</f>
        <v>45756</v>
      </c>
      <c r="H377" s="38"/>
    </row>
    <row r="378" spans="1:8" ht="31.5" outlineLevel="7">
      <c r="A378" s="36" t="s">
        <v>689</v>
      </c>
      <c r="B378" s="37" t="s">
        <v>711</v>
      </c>
      <c r="C378" s="37" t="s">
        <v>2</v>
      </c>
      <c r="D378" s="37" t="s">
        <v>66</v>
      </c>
      <c r="E378" s="37" t="s">
        <v>140</v>
      </c>
      <c r="F378" s="37" t="s">
        <v>17</v>
      </c>
      <c r="G378" s="38">
        <f>98756-53000</f>
        <v>45756</v>
      </c>
      <c r="H378" s="38"/>
    </row>
    <row r="379" spans="1:9" s="35" customFormat="1" ht="15.75" outlineLevel="3">
      <c r="A379" s="32" t="s">
        <v>490</v>
      </c>
      <c r="B379" s="33" t="s">
        <v>711</v>
      </c>
      <c r="C379" s="33" t="s">
        <v>2</v>
      </c>
      <c r="D379" s="33" t="s">
        <v>66</v>
      </c>
      <c r="E379" s="33" t="s">
        <v>11</v>
      </c>
      <c r="F379" s="33" t="s">
        <v>1</v>
      </c>
      <c r="G379" s="34">
        <f>G382+G380</f>
        <v>10447658.450000001</v>
      </c>
      <c r="H379" s="34"/>
      <c r="I379" s="106"/>
    </row>
    <row r="380" spans="1:9" s="35" customFormat="1" ht="15.75" outlineLevel="3">
      <c r="A380" s="36" t="s">
        <v>888</v>
      </c>
      <c r="B380" s="37" t="s">
        <v>711</v>
      </c>
      <c r="C380" s="37" t="s">
        <v>2</v>
      </c>
      <c r="D380" s="37" t="s">
        <v>66</v>
      </c>
      <c r="E380" s="37" t="s">
        <v>889</v>
      </c>
      <c r="F380" s="37" t="s">
        <v>1</v>
      </c>
      <c r="G380" s="38">
        <f>G381</f>
        <v>920000</v>
      </c>
      <c r="H380" s="38"/>
      <c r="I380" s="106"/>
    </row>
    <row r="381" spans="1:9" s="35" customFormat="1" ht="15.75" outlineLevel="3">
      <c r="A381" s="36" t="s">
        <v>691</v>
      </c>
      <c r="B381" s="37" t="s">
        <v>711</v>
      </c>
      <c r="C381" s="37" t="s">
        <v>2</v>
      </c>
      <c r="D381" s="37" t="s">
        <v>66</v>
      </c>
      <c r="E381" s="37" t="s">
        <v>889</v>
      </c>
      <c r="F381" s="37" t="s">
        <v>65</v>
      </c>
      <c r="G381" s="38">
        <f>300000+10000+410000+200000</f>
        <v>920000</v>
      </c>
      <c r="H381" s="38"/>
      <c r="I381" s="106"/>
    </row>
    <row r="382" spans="1:8" ht="31.5" outlineLevel="6">
      <c r="A382" s="36" t="s">
        <v>448</v>
      </c>
      <c r="B382" s="37" t="s">
        <v>711</v>
      </c>
      <c r="C382" s="37" t="s">
        <v>2</v>
      </c>
      <c r="D382" s="37" t="s">
        <v>66</v>
      </c>
      <c r="E382" s="37" t="s">
        <v>142</v>
      </c>
      <c r="F382" s="37" t="s">
        <v>1</v>
      </c>
      <c r="G382" s="38">
        <f>G383+G384</f>
        <v>9527658.450000001</v>
      </c>
      <c r="H382" s="38"/>
    </row>
    <row r="383" spans="1:8" ht="47.25" outlineLevel="7">
      <c r="A383" s="36" t="s">
        <v>839</v>
      </c>
      <c r="B383" s="37" t="s">
        <v>711</v>
      </c>
      <c r="C383" s="37" t="s">
        <v>2</v>
      </c>
      <c r="D383" s="37" t="s">
        <v>66</v>
      </c>
      <c r="E383" s="37" t="s">
        <v>142</v>
      </c>
      <c r="F383" s="37" t="s">
        <v>143</v>
      </c>
      <c r="G383" s="38">
        <f>8500008.46+789141.17</f>
        <v>9289149.63</v>
      </c>
      <c r="H383" s="38"/>
    </row>
    <row r="384" spans="1:8" ht="15.75" outlineLevel="7">
      <c r="A384" s="36" t="s">
        <v>691</v>
      </c>
      <c r="B384" s="37" t="s">
        <v>711</v>
      </c>
      <c r="C384" s="37" t="s">
        <v>2</v>
      </c>
      <c r="D384" s="37" t="s">
        <v>66</v>
      </c>
      <c r="E384" s="37" t="s">
        <v>142</v>
      </c>
      <c r="F384" s="37" t="s">
        <v>65</v>
      </c>
      <c r="G384" s="38">
        <f>114194.99+78578.89+18783+26951.94</f>
        <v>238508.82</v>
      </c>
      <c r="H384" s="38"/>
    </row>
    <row r="385" spans="1:9" s="35" customFormat="1" ht="15.75" outlineLevel="1">
      <c r="A385" s="32" t="s">
        <v>694</v>
      </c>
      <c r="B385" s="33" t="s">
        <v>711</v>
      </c>
      <c r="C385" s="33" t="s">
        <v>22</v>
      </c>
      <c r="D385" s="33" t="s">
        <v>3</v>
      </c>
      <c r="E385" s="33" t="s">
        <v>4</v>
      </c>
      <c r="F385" s="33" t="s">
        <v>1</v>
      </c>
      <c r="G385" s="34">
        <f>G386+G394+G427</f>
        <v>156064346.77</v>
      </c>
      <c r="H385" s="34">
        <f>H386+H394+H427</f>
        <v>23974418.32</v>
      </c>
      <c r="I385" s="106"/>
    </row>
    <row r="386" spans="1:9" s="35" customFormat="1" ht="15.75" outlineLevel="2">
      <c r="A386" s="32" t="s">
        <v>667</v>
      </c>
      <c r="B386" s="33" t="s">
        <v>711</v>
      </c>
      <c r="C386" s="33" t="s">
        <v>22</v>
      </c>
      <c r="D386" s="33" t="s">
        <v>159</v>
      </c>
      <c r="E386" s="33" t="s">
        <v>4</v>
      </c>
      <c r="F386" s="33" t="s">
        <v>1</v>
      </c>
      <c r="G386" s="34">
        <f aca="true" t="shared" si="2" ref="G386:H388">G387</f>
        <v>3608380</v>
      </c>
      <c r="H386" s="34">
        <f t="shared" si="2"/>
        <v>3608380</v>
      </c>
      <c r="I386" s="106"/>
    </row>
    <row r="387" spans="1:9" s="35" customFormat="1" ht="78.75" outlineLevel="3">
      <c r="A387" s="32" t="s">
        <v>656</v>
      </c>
      <c r="B387" s="33" t="s">
        <v>711</v>
      </c>
      <c r="C387" s="33" t="s">
        <v>22</v>
      </c>
      <c r="D387" s="33" t="s">
        <v>159</v>
      </c>
      <c r="E387" s="33" t="s">
        <v>160</v>
      </c>
      <c r="F387" s="33" t="s">
        <v>1</v>
      </c>
      <c r="G387" s="34">
        <f t="shared" si="2"/>
        <v>3608380</v>
      </c>
      <c r="H387" s="34">
        <f t="shared" si="2"/>
        <v>3608380</v>
      </c>
      <c r="I387" s="106"/>
    </row>
    <row r="388" spans="1:9" s="35" customFormat="1" ht="47.25" outlineLevel="4">
      <c r="A388" s="32" t="s">
        <v>626</v>
      </c>
      <c r="B388" s="33" t="s">
        <v>711</v>
      </c>
      <c r="C388" s="33" t="s">
        <v>22</v>
      </c>
      <c r="D388" s="33" t="s">
        <v>159</v>
      </c>
      <c r="E388" s="33" t="s">
        <v>161</v>
      </c>
      <c r="F388" s="33" t="s">
        <v>1</v>
      </c>
      <c r="G388" s="34">
        <f t="shared" si="2"/>
        <v>3608380</v>
      </c>
      <c r="H388" s="34">
        <f t="shared" si="2"/>
        <v>3608380</v>
      </c>
      <c r="I388" s="106"/>
    </row>
    <row r="389" spans="1:8" ht="31.5" outlineLevel="5">
      <c r="A389" s="36" t="s">
        <v>763</v>
      </c>
      <c r="B389" s="37" t="s">
        <v>711</v>
      </c>
      <c r="C389" s="37" t="s">
        <v>22</v>
      </c>
      <c r="D389" s="37" t="s">
        <v>159</v>
      </c>
      <c r="E389" s="37" t="s">
        <v>162</v>
      </c>
      <c r="F389" s="37" t="s">
        <v>1</v>
      </c>
      <c r="G389" s="38">
        <f>G390+G392</f>
        <v>3608380</v>
      </c>
      <c r="H389" s="38">
        <f>H390+H392</f>
        <v>3608380</v>
      </c>
    </row>
    <row r="390" spans="1:8" ht="31.5" outlineLevel="6">
      <c r="A390" s="36" t="s">
        <v>450</v>
      </c>
      <c r="B390" s="37" t="s">
        <v>711</v>
      </c>
      <c r="C390" s="37" t="s">
        <v>22</v>
      </c>
      <c r="D390" s="37" t="s">
        <v>159</v>
      </c>
      <c r="E390" s="37" t="s">
        <v>163</v>
      </c>
      <c r="F390" s="37" t="s">
        <v>1</v>
      </c>
      <c r="G390" s="38">
        <f>G391</f>
        <v>3590760</v>
      </c>
      <c r="H390" s="38">
        <f>H391</f>
        <v>3590760</v>
      </c>
    </row>
    <row r="391" spans="1:8" ht="31.5" outlineLevel="7">
      <c r="A391" s="36" t="s">
        <v>689</v>
      </c>
      <c r="B391" s="37" t="s">
        <v>711</v>
      </c>
      <c r="C391" s="37" t="s">
        <v>22</v>
      </c>
      <c r="D391" s="37" t="s">
        <v>159</v>
      </c>
      <c r="E391" s="37" t="s">
        <v>163</v>
      </c>
      <c r="F391" s="37" t="s">
        <v>17</v>
      </c>
      <c r="G391" s="38">
        <v>3590760</v>
      </c>
      <c r="H391" s="38">
        <f>G391</f>
        <v>3590760</v>
      </c>
    </row>
    <row r="392" spans="1:8" ht="63" outlineLevel="6">
      <c r="A392" s="36" t="s">
        <v>451</v>
      </c>
      <c r="B392" s="37" t="s">
        <v>711</v>
      </c>
      <c r="C392" s="37" t="s">
        <v>22</v>
      </c>
      <c r="D392" s="37" t="s">
        <v>159</v>
      </c>
      <c r="E392" s="37" t="s">
        <v>164</v>
      </c>
      <c r="F392" s="37" t="s">
        <v>1</v>
      </c>
      <c r="G392" s="38">
        <f>G393</f>
        <v>17620</v>
      </c>
      <c r="H392" s="38">
        <f>H393</f>
        <v>17620</v>
      </c>
    </row>
    <row r="393" spans="1:8" ht="31.5" outlineLevel="7">
      <c r="A393" s="36" t="s">
        <v>689</v>
      </c>
      <c r="B393" s="37" t="s">
        <v>711</v>
      </c>
      <c r="C393" s="37" t="s">
        <v>22</v>
      </c>
      <c r="D393" s="37" t="s">
        <v>159</v>
      </c>
      <c r="E393" s="37" t="s">
        <v>164</v>
      </c>
      <c r="F393" s="37" t="s">
        <v>17</v>
      </c>
      <c r="G393" s="38">
        <v>17620</v>
      </c>
      <c r="H393" s="38">
        <f>G393</f>
        <v>17620</v>
      </c>
    </row>
    <row r="394" spans="1:9" s="35" customFormat="1" ht="15.75" outlineLevel="2">
      <c r="A394" s="32" t="s">
        <v>669</v>
      </c>
      <c r="B394" s="33" t="s">
        <v>711</v>
      </c>
      <c r="C394" s="33" t="s">
        <v>22</v>
      </c>
      <c r="D394" s="33" t="s">
        <v>146</v>
      </c>
      <c r="E394" s="33" t="s">
        <v>4</v>
      </c>
      <c r="F394" s="33" t="s">
        <v>1</v>
      </c>
      <c r="G394" s="34">
        <f>G395+G403+G424</f>
        <v>126040094.66000001</v>
      </c>
      <c r="H394" s="34">
        <f>H395+H403+H424</f>
        <v>20366038.32</v>
      </c>
      <c r="I394" s="106"/>
    </row>
    <row r="395" spans="1:9" s="35" customFormat="1" ht="47.25" outlineLevel="3">
      <c r="A395" s="32" t="s">
        <v>654</v>
      </c>
      <c r="B395" s="33" t="s">
        <v>711</v>
      </c>
      <c r="C395" s="33" t="s">
        <v>22</v>
      </c>
      <c r="D395" s="33" t="s">
        <v>146</v>
      </c>
      <c r="E395" s="33" t="s">
        <v>71</v>
      </c>
      <c r="F395" s="33" t="s">
        <v>1</v>
      </c>
      <c r="G395" s="34">
        <f>G396</f>
        <v>10362.94999999984</v>
      </c>
      <c r="H395" s="34"/>
      <c r="I395" s="106"/>
    </row>
    <row r="396" spans="1:9" s="35" customFormat="1" ht="63" outlineLevel="4">
      <c r="A396" s="32" t="s">
        <v>628</v>
      </c>
      <c r="B396" s="33" t="s">
        <v>711</v>
      </c>
      <c r="C396" s="33" t="s">
        <v>22</v>
      </c>
      <c r="D396" s="33" t="s">
        <v>146</v>
      </c>
      <c r="E396" s="33" t="s">
        <v>173</v>
      </c>
      <c r="F396" s="33" t="s">
        <v>1</v>
      </c>
      <c r="G396" s="34">
        <f>G397+G400</f>
        <v>10362.94999999984</v>
      </c>
      <c r="H396" s="34"/>
      <c r="I396" s="106"/>
    </row>
    <row r="397" spans="1:8" ht="63" outlineLevel="5">
      <c r="A397" s="36" t="s">
        <v>840</v>
      </c>
      <c r="B397" s="37" t="s">
        <v>711</v>
      </c>
      <c r="C397" s="37" t="s">
        <v>22</v>
      </c>
      <c r="D397" s="37" t="s">
        <v>146</v>
      </c>
      <c r="E397" s="37" t="s">
        <v>174</v>
      </c>
      <c r="F397" s="37" t="s">
        <v>1</v>
      </c>
      <c r="G397" s="38">
        <f>G398</f>
        <v>10362.94999999984</v>
      </c>
      <c r="H397" s="38"/>
    </row>
    <row r="398" spans="1:8" ht="31.5" outlineLevel="6">
      <c r="A398" s="36" t="s">
        <v>441</v>
      </c>
      <c r="B398" s="37" t="s">
        <v>711</v>
      </c>
      <c r="C398" s="37" t="s">
        <v>22</v>
      </c>
      <c r="D398" s="37" t="s">
        <v>146</v>
      </c>
      <c r="E398" s="37" t="s">
        <v>175</v>
      </c>
      <c r="F398" s="37" t="s">
        <v>1</v>
      </c>
      <c r="G398" s="38">
        <f>G399</f>
        <v>10362.94999999984</v>
      </c>
      <c r="H398" s="38"/>
    </row>
    <row r="399" spans="1:8" ht="31.5" outlineLevel="7">
      <c r="A399" s="36" t="s">
        <v>689</v>
      </c>
      <c r="B399" s="37" t="s">
        <v>711</v>
      </c>
      <c r="C399" s="37" t="s">
        <v>22</v>
      </c>
      <c r="D399" s="37" t="s">
        <v>146</v>
      </c>
      <c r="E399" s="37" t="s">
        <v>175</v>
      </c>
      <c r="F399" s="37" t="s">
        <v>17</v>
      </c>
      <c r="G399" s="38">
        <f>4053741-3811145.18-199885.74-32347.13</f>
        <v>10362.94999999984</v>
      </c>
      <c r="H399" s="38"/>
    </row>
    <row r="400" spans="1:8" ht="265.5" customHeight="1" hidden="1" outlineLevel="5">
      <c r="A400" s="36" t="s">
        <v>841</v>
      </c>
      <c r="B400" s="37" t="s">
        <v>711</v>
      </c>
      <c r="C400" s="37" t="s">
        <v>22</v>
      </c>
      <c r="D400" s="37" t="s">
        <v>146</v>
      </c>
      <c r="E400" s="37" t="s">
        <v>176</v>
      </c>
      <c r="F400" s="37" t="s">
        <v>1</v>
      </c>
      <c r="G400" s="38">
        <f>G401</f>
        <v>0</v>
      </c>
      <c r="H400" s="38"/>
    </row>
    <row r="401" spans="1:8" ht="31.5" hidden="1" outlineLevel="6">
      <c r="A401" s="36" t="s">
        <v>441</v>
      </c>
      <c r="B401" s="37" t="s">
        <v>711</v>
      </c>
      <c r="C401" s="37" t="s">
        <v>22</v>
      </c>
      <c r="D401" s="37" t="s">
        <v>146</v>
      </c>
      <c r="E401" s="37" t="s">
        <v>177</v>
      </c>
      <c r="F401" s="37" t="s">
        <v>1</v>
      </c>
      <c r="G401" s="38">
        <f>G402</f>
        <v>0</v>
      </c>
      <c r="H401" s="38"/>
    </row>
    <row r="402" spans="1:8" ht="31.5" hidden="1" outlineLevel="7">
      <c r="A402" s="36" t="s">
        <v>689</v>
      </c>
      <c r="B402" s="37" t="s">
        <v>711</v>
      </c>
      <c r="C402" s="37" t="s">
        <v>22</v>
      </c>
      <c r="D402" s="37" t="s">
        <v>146</v>
      </c>
      <c r="E402" s="37" t="s">
        <v>177</v>
      </c>
      <c r="F402" s="37" t="s">
        <v>17</v>
      </c>
      <c r="G402" s="38">
        <f>1744240-1744240</f>
        <v>0</v>
      </c>
      <c r="H402" s="38"/>
    </row>
    <row r="403" spans="1:9" s="35" customFormat="1" ht="47.25" outlineLevel="4" collapsed="1">
      <c r="A403" s="32" t="s">
        <v>629</v>
      </c>
      <c r="B403" s="33" t="s">
        <v>711</v>
      </c>
      <c r="C403" s="33" t="s">
        <v>22</v>
      </c>
      <c r="D403" s="33" t="s">
        <v>146</v>
      </c>
      <c r="E403" s="33" t="s">
        <v>178</v>
      </c>
      <c r="F403" s="33" t="s">
        <v>1</v>
      </c>
      <c r="G403" s="34">
        <f>G404+G414+G421+G411</f>
        <v>126029731.71000001</v>
      </c>
      <c r="H403" s="34">
        <f>H404+H414+H421+H411</f>
        <v>20366038.32</v>
      </c>
      <c r="I403" s="106"/>
    </row>
    <row r="404" spans="1:8" ht="47.25" outlineLevel="5">
      <c r="A404" s="36" t="s">
        <v>842</v>
      </c>
      <c r="B404" s="37" t="s">
        <v>711</v>
      </c>
      <c r="C404" s="37" t="s">
        <v>22</v>
      </c>
      <c r="D404" s="37" t="s">
        <v>146</v>
      </c>
      <c r="E404" s="37" t="s">
        <v>179</v>
      </c>
      <c r="F404" s="37" t="s">
        <v>1</v>
      </c>
      <c r="G404" s="38">
        <f>G405+G407+G409</f>
        <v>30366038.32</v>
      </c>
      <c r="H404" s="38">
        <f>H405+H407+H409</f>
        <v>20366038.32</v>
      </c>
    </row>
    <row r="405" spans="1:8" ht="31.5" hidden="1" outlineLevel="6">
      <c r="A405" s="36" t="s">
        <v>454</v>
      </c>
      <c r="B405" s="37" t="s">
        <v>711</v>
      </c>
      <c r="C405" s="37" t="s">
        <v>22</v>
      </c>
      <c r="D405" s="37" t="s">
        <v>146</v>
      </c>
      <c r="E405" s="37" t="s">
        <v>180</v>
      </c>
      <c r="F405" s="37" t="s">
        <v>1</v>
      </c>
      <c r="G405" s="38">
        <f>G406</f>
        <v>0</v>
      </c>
      <c r="H405" s="38"/>
    </row>
    <row r="406" spans="1:8" ht="31.5" hidden="1" outlineLevel="7">
      <c r="A406" s="36" t="s">
        <v>689</v>
      </c>
      <c r="B406" s="37" t="s">
        <v>711</v>
      </c>
      <c r="C406" s="37" t="s">
        <v>22</v>
      </c>
      <c r="D406" s="37" t="s">
        <v>146</v>
      </c>
      <c r="E406" s="37" t="s">
        <v>180</v>
      </c>
      <c r="F406" s="37" t="s">
        <v>17</v>
      </c>
      <c r="G406" s="38">
        <f>10000000-10000000</f>
        <v>0</v>
      </c>
      <c r="H406" s="38"/>
    </row>
    <row r="407" spans="1:8" ht="63" outlineLevel="7">
      <c r="A407" s="36" t="s">
        <v>916</v>
      </c>
      <c r="B407" s="37" t="s">
        <v>711</v>
      </c>
      <c r="C407" s="37" t="s">
        <v>22</v>
      </c>
      <c r="D407" s="37" t="s">
        <v>146</v>
      </c>
      <c r="E407" s="37" t="s">
        <v>917</v>
      </c>
      <c r="F407" s="37" t="s">
        <v>1</v>
      </c>
      <c r="G407" s="38">
        <f>G408</f>
        <v>20366038.32</v>
      </c>
      <c r="H407" s="38">
        <f>H408</f>
        <v>20366038.32</v>
      </c>
    </row>
    <row r="408" spans="1:8" ht="31.5" outlineLevel="7">
      <c r="A408" s="36" t="s">
        <v>689</v>
      </c>
      <c r="B408" s="37" t="s">
        <v>711</v>
      </c>
      <c r="C408" s="37" t="s">
        <v>22</v>
      </c>
      <c r="D408" s="37" t="s">
        <v>146</v>
      </c>
      <c r="E408" s="37" t="s">
        <v>917</v>
      </c>
      <c r="F408" s="37" t="s">
        <v>17</v>
      </c>
      <c r="G408" s="38">
        <f>20366038.32</f>
        <v>20366038.32</v>
      </c>
      <c r="H408" s="38">
        <f>G408</f>
        <v>20366038.32</v>
      </c>
    </row>
    <row r="409" spans="1:8" ht="63" outlineLevel="7">
      <c r="A409" s="36" t="s">
        <v>916</v>
      </c>
      <c r="B409" s="37" t="s">
        <v>711</v>
      </c>
      <c r="C409" s="37" t="s">
        <v>22</v>
      </c>
      <c r="D409" s="37" t="s">
        <v>146</v>
      </c>
      <c r="E409" s="37" t="s">
        <v>918</v>
      </c>
      <c r="F409" s="37" t="s">
        <v>1</v>
      </c>
      <c r="G409" s="38">
        <f>G410</f>
        <v>10000000</v>
      </c>
      <c r="H409" s="38"/>
    </row>
    <row r="410" spans="1:8" ht="31.5" outlineLevel="7">
      <c r="A410" s="36" t="s">
        <v>689</v>
      </c>
      <c r="B410" s="37" t="s">
        <v>711</v>
      </c>
      <c r="C410" s="37" t="s">
        <v>22</v>
      </c>
      <c r="D410" s="37" t="s">
        <v>146</v>
      </c>
      <c r="E410" s="37" t="s">
        <v>918</v>
      </c>
      <c r="F410" s="37" t="s">
        <v>17</v>
      </c>
      <c r="G410" s="38">
        <f>10000000</f>
        <v>10000000</v>
      </c>
      <c r="H410" s="38"/>
    </row>
    <row r="411" spans="1:8" ht="47.25" outlineLevel="7">
      <c r="A411" s="36" t="s">
        <v>879</v>
      </c>
      <c r="B411" s="37" t="s">
        <v>711</v>
      </c>
      <c r="C411" s="37" t="s">
        <v>22</v>
      </c>
      <c r="D411" s="37" t="s">
        <v>146</v>
      </c>
      <c r="E411" s="37" t="s">
        <v>880</v>
      </c>
      <c r="F411" s="37" t="s">
        <v>1</v>
      </c>
      <c r="G411" s="38">
        <f>G412</f>
        <v>340000</v>
      </c>
      <c r="H411" s="38"/>
    </row>
    <row r="412" spans="1:8" ht="31.5" outlineLevel="7">
      <c r="A412" s="36" t="s">
        <v>441</v>
      </c>
      <c r="B412" s="37" t="s">
        <v>711</v>
      </c>
      <c r="C412" s="37" t="s">
        <v>22</v>
      </c>
      <c r="D412" s="37" t="s">
        <v>146</v>
      </c>
      <c r="E412" s="37" t="s">
        <v>881</v>
      </c>
      <c r="F412" s="37" t="s">
        <v>1</v>
      </c>
      <c r="G412" s="38">
        <f>G413</f>
        <v>340000</v>
      </c>
      <c r="H412" s="38"/>
    </row>
    <row r="413" spans="1:8" ht="31.5" outlineLevel="7">
      <c r="A413" s="36" t="s">
        <v>689</v>
      </c>
      <c r="B413" s="37" t="s">
        <v>711</v>
      </c>
      <c r="C413" s="37" t="s">
        <v>22</v>
      </c>
      <c r="D413" s="37" t="s">
        <v>146</v>
      </c>
      <c r="E413" s="37" t="s">
        <v>881</v>
      </c>
      <c r="F413" s="37" t="s">
        <v>17</v>
      </c>
      <c r="G413" s="38">
        <f>450000-110000</f>
        <v>340000</v>
      </c>
      <c r="H413" s="38"/>
    </row>
    <row r="414" spans="1:8" ht="54" customHeight="1" outlineLevel="5">
      <c r="A414" s="36" t="s">
        <v>764</v>
      </c>
      <c r="B414" s="37" t="s">
        <v>711</v>
      </c>
      <c r="C414" s="37" t="s">
        <v>22</v>
      </c>
      <c r="D414" s="37" t="s">
        <v>146</v>
      </c>
      <c r="E414" s="37" t="s">
        <v>181</v>
      </c>
      <c r="F414" s="37" t="s">
        <v>1</v>
      </c>
      <c r="G414" s="38">
        <f>G415+G417+G419</f>
        <v>95029693.39</v>
      </c>
      <c r="H414" s="38"/>
    </row>
    <row r="415" spans="1:8" ht="47.25" outlineLevel="6">
      <c r="A415" s="36" t="s">
        <v>455</v>
      </c>
      <c r="B415" s="37" t="s">
        <v>711</v>
      </c>
      <c r="C415" s="37" t="s">
        <v>22</v>
      </c>
      <c r="D415" s="37" t="s">
        <v>146</v>
      </c>
      <c r="E415" s="37" t="s">
        <v>182</v>
      </c>
      <c r="F415" s="37" t="s">
        <v>1</v>
      </c>
      <c r="G415" s="38">
        <f>G416</f>
        <v>92834953.2</v>
      </c>
      <c r="H415" s="38"/>
    </row>
    <row r="416" spans="1:8" ht="31.5" outlineLevel="7">
      <c r="A416" s="36" t="s">
        <v>689</v>
      </c>
      <c r="B416" s="37" t="s">
        <v>711</v>
      </c>
      <c r="C416" s="37" t="s">
        <v>22</v>
      </c>
      <c r="D416" s="37" t="s">
        <v>146</v>
      </c>
      <c r="E416" s="37" t="s">
        <v>182</v>
      </c>
      <c r="F416" s="37" t="s">
        <v>17</v>
      </c>
      <c r="G416" s="38">
        <v>92834953.2</v>
      </c>
      <c r="H416" s="38"/>
    </row>
    <row r="417" spans="1:8" ht="31.5" outlineLevel="6">
      <c r="A417" s="36" t="s">
        <v>456</v>
      </c>
      <c r="B417" s="37" t="s">
        <v>711</v>
      </c>
      <c r="C417" s="37" t="s">
        <v>22</v>
      </c>
      <c r="D417" s="37" t="s">
        <v>146</v>
      </c>
      <c r="E417" s="37" t="s">
        <v>183</v>
      </c>
      <c r="F417" s="37" t="s">
        <v>1</v>
      </c>
      <c r="G417" s="38">
        <f>G418</f>
        <v>360636.09</v>
      </c>
      <c r="H417" s="38"/>
    </row>
    <row r="418" spans="1:8" ht="31.5" outlineLevel="7">
      <c r="A418" s="36" t="s">
        <v>689</v>
      </c>
      <c r="B418" s="37" t="s">
        <v>711</v>
      </c>
      <c r="C418" s="37" t="s">
        <v>22</v>
      </c>
      <c r="D418" s="37" t="s">
        <v>146</v>
      </c>
      <c r="E418" s="37" t="s">
        <v>183</v>
      </c>
      <c r="F418" s="37" t="s">
        <v>17</v>
      </c>
      <c r="G418" s="38">
        <v>360636.09</v>
      </c>
      <c r="H418" s="38"/>
    </row>
    <row r="419" spans="1:8" ht="31.5" outlineLevel="6">
      <c r="A419" s="36" t="s">
        <v>441</v>
      </c>
      <c r="B419" s="37" t="s">
        <v>711</v>
      </c>
      <c r="C419" s="37" t="s">
        <v>22</v>
      </c>
      <c r="D419" s="37" t="s">
        <v>146</v>
      </c>
      <c r="E419" s="37" t="s">
        <v>184</v>
      </c>
      <c r="F419" s="37" t="s">
        <v>1</v>
      </c>
      <c r="G419" s="38">
        <f>G420</f>
        <v>1834104.0999999999</v>
      </c>
      <c r="H419" s="38"/>
    </row>
    <row r="420" spans="1:8" ht="31.5" outlineLevel="7">
      <c r="A420" s="36" t="s">
        <v>689</v>
      </c>
      <c r="B420" s="37" t="s">
        <v>711</v>
      </c>
      <c r="C420" s="37" t="s">
        <v>22</v>
      </c>
      <c r="D420" s="37" t="s">
        <v>146</v>
      </c>
      <c r="E420" s="37" t="s">
        <v>184</v>
      </c>
      <c r="F420" s="37" t="s">
        <v>17</v>
      </c>
      <c r="G420" s="38">
        <f>3134903.98-1024141.08-276658.8</f>
        <v>1834104.0999999999</v>
      </c>
      <c r="H420" s="38"/>
    </row>
    <row r="421" spans="1:8" ht="63" outlineLevel="5">
      <c r="A421" s="36" t="s">
        <v>843</v>
      </c>
      <c r="B421" s="37" t="s">
        <v>711</v>
      </c>
      <c r="C421" s="37" t="s">
        <v>22</v>
      </c>
      <c r="D421" s="37" t="s">
        <v>146</v>
      </c>
      <c r="E421" s="37" t="s">
        <v>185</v>
      </c>
      <c r="F421" s="37" t="s">
        <v>1</v>
      </c>
      <c r="G421" s="38">
        <f>G422</f>
        <v>294000</v>
      </c>
      <c r="H421" s="38"/>
    </row>
    <row r="422" spans="1:8" ht="31.5" outlineLevel="6">
      <c r="A422" s="36" t="s">
        <v>441</v>
      </c>
      <c r="B422" s="37" t="s">
        <v>711</v>
      </c>
      <c r="C422" s="37" t="s">
        <v>22</v>
      </c>
      <c r="D422" s="37" t="s">
        <v>146</v>
      </c>
      <c r="E422" s="37" t="s">
        <v>186</v>
      </c>
      <c r="F422" s="37" t="s">
        <v>1</v>
      </c>
      <c r="G422" s="38">
        <f>G423</f>
        <v>294000</v>
      </c>
      <c r="H422" s="38"/>
    </row>
    <row r="423" spans="1:8" ht="31.5" outlineLevel="7">
      <c r="A423" s="36" t="s">
        <v>689</v>
      </c>
      <c r="B423" s="37" t="s">
        <v>711</v>
      </c>
      <c r="C423" s="37" t="s">
        <v>22</v>
      </c>
      <c r="D423" s="37" t="s">
        <v>146</v>
      </c>
      <c r="E423" s="37" t="s">
        <v>186</v>
      </c>
      <c r="F423" s="37" t="s">
        <v>17</v>
      </c>
      <c r="G423" s="38">
        <f>300000-6000</f>
        <v>294000</v>
      </c>
      <c r="H423" s="38"/>
    </row>
    <row r="424" spans="1:9" s="35" customFormat="1" ht="15.75" hidden="1" outlineLevel="3">
      <c r="A424" s="32" t="s">
        <v>490</v>
      </c>
      <c r="B424" s="33" t="s">
        <v>711</v>
      </c>
      <c r="C424" s="33" t="s">
        <v>22</v>
      </c>
      <c r="D424" s="33" t="s">
        <v>146</v>
      </c>
      <c r="E424" s="33" t="s">
        <v>11</v>
      </c>
      <c r="F424" s="33" t="s">
        <v>1</v>
      </c>
      <c r="G424" s="34">
        <f>G425</f>
        <v>0</v>
      </c>
      <c r="H424" s="34"/>
      <c r="I424" s="106"/>
    </row>
    <row r="425" spans="1:8" ht="31.5" hidden="1" outlineLevel="6">
      <c r="A425" s="36" t="s">
        <v>448</v>
      </c>
      <c r="B425" s="37" t="s">
        <v>711</v>
      </c>
      <c r="C425" s="37" t="s">
        <v>22</v>
      </c>
      <c r="D425" s="37" t="s">
        <v>146</v>
      </c>
      <c r="E425" s="37" t="s">
        <v>142</v>
      </c>
      <c r="F425" s="37" t="s">
        <v>1</v>
      </c>
      <c r="G425" s="38">
        <f>G426</f>
        <v>0</v>
      </c>
      <c r="H425" s="38"/>
    </row>
    <row r="426" spans="1:8" ht="15.75" hidden="1" outlineLevel="7">
      <c r="A426" s="36" t="s">
        <v>691</v>
      </c>
      <c r="B426" s="37" t="s">
        <v>711</v>
      </c>
      <c r="C426" s="37" t="s">
        <v>22</v>
      </c>
      <c r="D426" s="37" t="s">
        <v>146</v>
      </c>
      <c r="E426" s="37" t="s">
        <v>142</v>
      </c>
      <c r="F426" s="37" t="s">
        <v>65</v>
      </c>
      <c r="G426" s="38">
        <f>78578.89-78578.89</f>
        <v>0</v>
      </c>
      <c r="H426" s="38"/>
    </row>
    <row r="427" spans="1:9" s="35" customFormat="1" ht="31.5" outlineLevel="2" collapsed="1">
      <c r="A427" s="32" t="s">
        <v>671</v>
      </c>
      <c r="B427" s="33" t="s">
        <v>711</v>
      </c>
      <c r="C427" s="33" t="s">
        <v>22</v>
      </c>
      <c r="D427" s="33" t="s">
        <v>192</v>
      </c>
      <c r="E427" s="33" t="s">
        <v>4</v>
      </c>
      <c r="F427" s="33" t="s">
        <v>1</v>
      </c>
      <c r="G427" s="34">
        <f>G428+G433</f>
        <v>26415872.110000003</v>
      </c>
      <c r="H427" s="34"/>
      <c r="I427" s="106"/>
    </row>
    <row r="428" spans="1:9" s="35" customFormat="1" ht="47.25" outlineLevel="3">
      <c r="A428" s="32" t="s">
        <v>655</v>
      </c>
      <c r="B428" s="33" t="s">
        <v>711</v>
      </c>
      <c r="C428" s="33" t="s">
        <v>22</v>
      </c>
      <c r="D428" s="33" t="s">
        <v>192</v>
      </c>
      <c r="E428" s="33" t="s">
        <v>90</v>
      </c>
      <c r="F428" s="33" t="s">
        <v>1</v>
      </c>
      <c r="G428" s="34">
        <f>G429</f>
        <v>683807.12</v>
      </c>
      <c r="H428" s="34"/>
      <c r="I428" s="106"/>
    </row>
    <row r="429" spans="1:9" s="35" customFormat="1" ht="47.25" outlineLevel="4">
      <c r="A429" s="32" t="s">
        <v>620</v>
      </c>
      <c r="B429" s="33" t="s">
        <v>711</v>
      </c>
      <c r="C429" s="33" t="s">
        <v>22</v>
      </c>
      <c r="D429" s="33" t="s">
        <v>192</v>
      </c>
      <c r="E429" s="33" t="s">
        <v>91</v>
      </c>
      <c r="F429" s="33" t="s">
        <v>1</v>
      </c>
      <c r="G429" s="34">
        <f>G430</f>
        <v>683807.12</v>
      </c>
      <c r="H429" s="34"/>
      <c r="I429" s="106"/>
    </row>
    <row r="430" spans="1:8" ht="31.5" outlineLevel="5">
      <c r="A430" s="36" t="s">
        <v>734</v>
      </c>
      <c r="B430" s="37" t="s">
        <v>711</v>
      </c>
      <c r="C430" s="37" t="s">
        <v>22</v>
      </c>
      <c r="D430" s="37" t="s">
        <v>192</v>
      </c>
      <c r="E430" s="37" t="s">
        <v>100</v>
      </c>
      <c r="F430" s="37" t="s">
        <v>1</v>
      </c>
      <c r="G430" s="38">
        <f>G431</f>
        <v>683807.12</v>
      </c>
      <c r="H430" s="38"/>
    </row>
    <row r="431" spans="1:8" ht="31.5" outlineLevel="6">
      <c r="A431" s="36" t="s">
        <v>441</v>
      </c>
      <c r="B431" s="37" t="s">
        <v>711</v>
      </c>
      <c r="C431" s="37" t="s">
        <v>22</v>
      </c>
      <c r="D431" s="37" t="s">
        <v>192</v>
      </c>
      <c r="E431" s="37" t="s">
        <v>101</v>
      </c>
      <c r="F431" s="37" t="s">
        <v>1</v>
      </c>
      <c r="G431" s="38">
        <f>G432</f>
        <v>683807.12</v>
      </c>
      <c r="H431" s="38"/>
    </row>
    <row r="432" spans="1:8" ht="31.5" outlineLevel="7">
      <c r="A432" s="36" t="s">
        <v>689</v>
      </c>
      <c r="B432" s="37" t="s">
        <v>711</v>
      </c>
      <c r="C432" s="37" t="s">
        <v>22</v>
      </c>
      <c r="D432" s="37" t="s">
        <v>192</v>
      </c>
      <c r="E432" s="37" t="s">
        <v>101</v>
      </c>
      <c r="F432" s="37" t="s">
        <v>17</v>
      </c>
      <c r="G432" s="38">
        <f>690807.12-7000</f>
        <v>683807.12</v>
      </c>
      <c r="H432" s="38"/>
    </row>
    <row r="433" spans="1:9" s="35" customFormat="1" ht="63" outlineLevel="3">
      <c r="A433" s="32" t="s">
        <v>652</v>
      </c>
      <c r="B433" s="33" t="s">
        <v>711</v>
      </c>
      <c r="C433" s="33" t="s">
        <v>22</v>
      </c>
      <c r="D433" s="33" t="s">
        <v>192</v>
      </c>
      <c r="E433" s="33" t="s">
        <v>6</v>
      </c>
      <c r="F433" s="33" t="s">
        <v>1</v>
      </c>
      <c r="G433" s="34">
        <f>G434+G444</f>
        <v>25732064.990000002</v>
      </c>
      <c r="H433" s="34"/>
      <c r="I433" s="106"/>
    </row>
    <row r="434" spans="1:9" s="35" customFormat="1" ht="47.25" outlineLevel="4">
      <c r="A434" s="32" t="s">
        <v>613</v>
      </c>
      <c r="B434" s="33" t="s">
        <v>711</v>
      </c>
      <c r="C434" s="33" t="s">
        <v>22</v>
      </c>
      <c r="D434" s="33" t="s">
        <v>192</v>
      </c>
      <c r="E434" s="33" t="s">
        <v>51</v>
      </c>
      <c r="F434" s="33" t="s">
        <v>1</v>
      </c>
      <c r="G434" s="34">
        <f>G435+G438+G441</f>
        <v>3794624</v>
      </c>
      <c r="H434" s="34"/>
      <c r="I434" s="106"/>
    </row>
    <row r="435" spans="1:8" ht="78.75" outlineLevel="5">
      <c r="A435" s="36" t="s">
        <v>765</v>
      </c>
      <c r="B435" s="37" t="s">
        <v>711</v>
      </c>
      <c r="C435" s="37" t="s">
        <v>22</v>
      </c>
      <c r="D435" s="37" t="s">
        <v>192</v>
      </c>
      <c r="E435" s="37" t="s">
        <v>195</v>
      </c>
      <c r="F435" s="37" t="s">
        <v>1</v>
      </c>
      <c r="G435" s="38">
        <f>G436</f>
        <v>1494624</v>
      </c>
      <c r="H435" s="38"/>
    </row>
    <row r="436" spans="1:8" ht="31.5" outlineLevel="6">
      <c r="A436" s="36" t="s">
        <v>458</v>
      </c>
      <c r="B436" s="37" t="s">
        <v>711</v>
      </c>
      <c r="C436" s="37" t="s">
        <v>22</v>
      </c>
      <c r="D436" s="37" t="s">
        <v>192</v>
      </c>
      <c r="E436" s="37" t="s">
        <v>196</v>
      </c>
      <c r="F436" s="37" t="s">
        <v>1</v>
      </c>
      <c r="G436" s="38">
        <f>G437</f>
        <v>1494624</v>
      </c>
      <c r="H436" s="38"/>
    </row>
    <row r="437" spans="1:8" ht="31.5" outlineLevel="7">
      <c r="A437" s="36" t="s">
        <v>689</v>
      </c>
      <c r="B437" s="37" t="s">
        <v>711</v>
      </c>
      <c r="C437" s="37" t="s">
        <v>22</v>
      </c>
      <c r="D437" s="37" t="s">
        <v>192</v>
      </c>
      <c r="E437" s="37" t="s">
        <v>196</v>
      </c>
      <c r="F437" s="37" t="s">
        <v>17</v>
      </c>
      <c r="G437" s="38">
        <f>4141040-2600000-46416</f>
        <v>1494624</v>
      </c>
      <c r="H437" s="38"/>
    </row>
    <row r="438" spans="1:8" ht="126" outlineLevel="7">
      <c r="A438" s="36" t="s">
        <v>882</v>
      </c>
      <c r="B438" s="37" t="s">
        <v>711</v>
      </c>
      <c r="C438" s="37" t="s">
        <v>22</v>
      </c>
      <c r="D438" s="37" t="s">
        <v>192</v>
      </c>
      <c r="E438" s="37" t="s">
        <v>883</v>
      </c>
      <c r="F438" s="37" t="s">
        <v>1</v>
      </c>
      <c r="G438" s="38">
        <f>G439</f>
        <v>1800000</v>
      </c>
      <c r="H438" s="38"/>
    </row>
    <row r="439" spans="1:8" ht="31.5" outlineLevel="7">
      <c r="A439" s="36" t="s">
        <v>458</v>
      </c>
      <c r="B439" s="37" t="s">
        <v>711</v>
      </c>
      <c r="C439" s="37" t="s">
        <v>22</v>
      </c>
      <c r="D439" s="37" t="s">
        <v>192</v>
      </c>
      <c r="E439" s="37" t="s">
        <v>884</v>
      </c>
      <c r="F439" s="37" t="s">
        <v>1</v>
      </c>
      <c r="G439" s="38">
        <f>G440</f>
        <v>1800000</v>
      </c>
      <c r="H439" s="38"/>
    </row>
    <row r="440" spans="1:8" ht="31.5" outlineLevel="7">
      <c r="A440" s="36" t="s">
        <v>689</v>
      </c>
      <c r="B440" s="37" t="s">
        <v>711</v>
      </c>
      <c r="C440" s="37" t="s">
        <v>22</v>
      </c>
      <c r="D440" s="37" t="s">
        <v>192</v>
      </c>
      <c r="E440" s="37" t="s">
        <v>884</v>
      </c>
      <c r="F440" s="37" t="s">
        <v>17</v>
      </c>
      <c r="G440" s="38">
        <f>2300000-500000</f>
        <v>1800000</v>
      </c>
      <c r="H440" s="38"/>
    </row>
    <row r="441" spans="1:8" ht="78.75" outlineLevel="7">
      <c r="A441" s="36" t="s">
        <v>930</v>
      </c>
      <c r="B441" s="37" t="s">
        <v>711</v>
      </c>
      <c r="C441" s="37" t="s">
        <v>22</v>
      </c>
      <c r="D441" s="37" t="s">
        <v>192</v>
      </c>
      <c r="E441" s="37" t="s">
        <v>931</v>
      </c>
      <c r="F441" s="37" t="s">
        <v>1</v>
      </c>
      <c r="G441" s="38">
        <f>G442</f>
        <v>500000</v>
      </c>
      <c r="H441" s="38"/>
    </row>
    <row r="442" spans="1:8" ht="31.5" outlineLevel="7">
      <c r="A442" s="36" t="s">
        <v>458</v>
      </c>
      <c r="B442" s="37" t="s">
        <v>711</v>
      </c>
      <c r="C442" s="37" t="s">
        <v>22</v>
      </c>
      <c r="D442" s="37" t="s">
        <v>192</v>
      </c>
      <c r="E442" s="37" t="s">
        <v>932</v>
      </c>
      <c r="F442" s="37" t="s">
        <v>1</v>
      </c>
      <c r="G442" s="38">
        <f>G443</f>
        <v>500000</v>
      </c>
      <c r="H442" s="38"/>
    </row>
    <row r="443" spans="1:8" ht="31.5" outlineLevel="7">
      <c r="A443" s="36" t="s">
        <v>689</v>
      </c>
      <c r="B443" s="37" t="s">
        <v>711</v>
      </c>
      <c r="C443" s="37" t="s">
        <v>22</v>
      </c>
      <c r="D443" s="37" t="s">
        <v>192</v>
      </c>
      <c r="E443" s="37" t="s">
        <v>932</v>
      </c>
      <c r="F443" s="37" t="s">
        <v>17</v>
      </c>
      <c r="G443" s="38">
        <f>500000</f>
        <v>500000</v>
      </c>
      <c r="H443" s="38"/>
    </row>
    <row r="444" spans="1:9" s="35" customFormat="1" ht="78.75" outlineLevel="4">
      <c r="A444" s="32" t="s">
        <v>631</v>
      </c>
      <c r="B444" s="33" t="s">
        <v>711</v>
      </c>
      <c r="C444" s="33" t="s">
        <v>22</v>
      </c>
      <c r="D444" s="33" t="s">
        <v>192</v>
      </c>
      <c r="E444" s="33" t="s">
        <v>197</v>
      </c>
      <c r="F444" s="33" t="s">
        <v>1</v>
      </c>
      <c r="G444" s="34">
        <f>G445+G451+G457</f>
        <v>21937440.990000002</v>
      </c>
      <c r="H444" s="34"/>
      <c r="I444" s="106"/>
    </row>
    <row r="445" spans="1:8" ht="63" outlineLevel="5">
      <c r="A445" s="36" t="s">
        <v>766</v>
      </c>
      <c r="B445" s="37" t="s">
        <v>711</v>
      </c>
      <c r="C445" s="37" t="s">
        <v>22</v>
      </c>
      <c r="D445" s="37" t="s">
        <v>192</v>
      </c>
      <c r="E445" s="37" t="s">
        <v>198</v>
      </c>
      <c r="F445" s="37" t="s">
        <v>1</v>
      </c>
      <c r="G445" s="38">
        <f>G446</f>
        <v>5933519.91</v>
      </c>
      <c r="H445" s="38"/>
    </row>
    <row r="446" spans="1:8" ht="78.75" outlineLevel="6">
      <c r="A446" s="36" t="s">
        <v>443</v>
      </c>
      <c r="B446" s="37" t="s">
        <v>711</v>
      </c>
      <c r="C446" s="37" t="s">
        <v>22</v>
      </c>
      <c r="D446" s="37" t="s">
        <v>192</v>
      </c>
      <c r="E446" s="37" t="s">
        <v>199</v>
      </c>
      <c r="F446" s="37" t="s">
        <v>1</v>
      </c>
      <c r="G446" s="38">
        <f>G447+G448+G449+G450</f>
        <v>5933519.91</v>
      </c>
      <c r="H446" s="38"/>
    </row>
    <row r="447" spans="1:8" ht="94.5" outlineLevel="7">
      <c r="A447" s="36" t="s">
        <v>704</v>
      </c>
      <c r="B447" s="37" t="s">
        <v>711</v>
      </c>
      <c r="C447" s="37" t="s">
        <v>22</v>
      </c>
      <c r="D447" s="37" t="s">
        <v>192</v>
      </c>
      <c r="E447" s="37" t="s">
        <v>199</v>
      </c>
      <c r="F447" s="37" t="s">
        <v>10</v>
      </c>
      <c r="G447" s="38">
        <v>5277891.38</v>
      </c>
      <c r="H447" s="38"/>
    </row>
    <row r="448" spans="1:8" ht="31.5" outlineLevel="7">
      <c r="A448" s="36" t="s">
        <v>689</v>
      </c>
      <c r="B448" s="37" t="s">
        <v>711</v>
      </c>
      <c r="C448" s="37" t="s">
        <v>22</v>
      </c>
      <c r="D448" s="37" t="s">
        <v>192</v>
      </c>
      <c r="E448" s="37" t="s">
        <v>199</v>
      </c>
      <c r="F448" s="37" t="s">
        <v>17</v>
      </c>
      <c r="G448" s="38">
        <v>178070.85</v>
      </c>
      <c r="H448" s="38"/>
    </row>
    <row r="449" spans="1:8" ht="31.5" outlineLevel="7">
      <c r="A449" s="36" t="s">
        <v>690</v>
      </c>
      <c r="B449" s="37" t="s">
        <v>711</v>
      </c>
      <c r="C449" s="37" t="s">
        <v>22</v>
      </c>
      <c r="D449" s="37" t="s">
        <v>192</v>
      </c>
      <c r="E449" s="37" t="s">
        <v>199</v>
      </c>
      <c r="F449" s="37" t="s">
        <v>47</v>
      </c>
      <c r="G449" s="38">
        <f>1485091.82-78922.14-1124000</f>
        <v>282169.68000000017</v>
      </c>
      <c r="H449" s="38"/>
    </row>
    <row r="450" spans="1:8" ht="15.75" outlineLevel="7">
      <c r="A450" s="36" t="s">
        <v>691</v>
      </c>
      <c r="B450" s="37" t="s">
        <v>711</v>
      </c>
      <c r="C450" s="37" t="s">
        <v>22</v>
      </c>
      <c r="D450" s="37" t="s">
        <v>192</v>
      </c>
      <c r="E450" s="37" t="s">
        <v>199</v>
      </c>
      <c r="F450" s="37" t="s">
        <v>65</v>
      </c>
      <c r="G450" s="38">
        <f>194588+800-31078+31078</f>
        <v>195388</v>
      </c>
      <c r="H450" s="38"/>
    </row>
    <row r="451" spans="1:8" ht="94.5" outlineLevel="5">
      <c r="A451" s="36" t="s">
        <v>767</v>
      </c>
      <c r="B451" s="37" t="s">
        <v>711</v>
      </c>
      <c r="C451" s="37" t="s">
        <v>22</v>
      </c>
      <c r="D451" s="37" t="s">
        <v>192</v>
      </c>
      <c r="E451" s="37" t="s">
        <v>200</v>
      </c>
      <c r="F451" s="37" t="s">
        <v>1</v>
      </c>
      <c r="G451" s="38">
        <f>G452+G455</f>
        <v>10184752.99</v>
      </c>
      <c r="H451" s="38"/>
    </row>
    <row r="452" spans="1:8" ht="78.75" outlineLevel="6">
      <c r="A452" s="36" t="s">
        <v>443</v>
      </c>
      <c r="B452" s="37" t="s">
        <v>711</v>
      </c>
      <c r="C452" s="37" t="s">
        <v>22</v>
      </c>
      <c r="D452" s="37" t="s">
        <v>192</v>
      </c>
      <c r="E452" s="37" t="s">
        <v>201</v>
      </c>
      <c r="F452" s="37" t="s">
        <v>1</v>
      </c>
      <c r="G452" s="38">
        <f>G453+G454</f>
        <v>9737645.8</v>
      </c>
      <c r="H452" s="38"/>
    </row>
    <row r="453" spans="1:8" ht="94.5" outlineLevel="7">
      <c r="A453" s="36" t="s">
        <v>704</v>
      </c>
      <c r="B453" s="37" t="s">
        <v>711</v>
      </c>
      <c r="C453" s="37" t="s">
        <v>22</v>
      </c>
      <c r="D453" s="37" t="s">
        <v>192</v>
      </c>
      <c r="E453" s="37" t="s">
        <v>201</v>
      </c>
      <c r="F453" s="37" t="s">
        <v>10</v>
      </c>
      <c r="G453" s="38">
        <v>9186896.15</v>
      </c>
      <c r="H453" s="38"/>
    </row>
    <row r="454" spans="1:8" ht="31.5" outlineLevel="7">
      <c r="A454" s="36" t="s">
        <v>689</v>
      </c>
      <c r="B454" s="37" t="s">
        <v>711</v>
      </c>
      <c r="C454" s="37" t="s">
        <v>22</v>
      </c>
      <c r="D454" s="37" t="s">
        <v>192</v>
      </c>
      <c r="E454" s="37" t="s">
        <v>201</v>
      </c>
      <c r="F454" s="37" t="s">
        <v>17</v>
      </c>
      <c r="G454" s="38">
        <f>399148.07+7000+134601.58+10000</f>
        <v>550749.65</v>
      </c>
      <c r="H454" s="38"/>
    </row>
    <row r="455" spans="1:8" ht="78.75" outlineLevel="6">
      <c r="A455" s="36" t="s">
        <v>432</v>
      </c>
      <c r="B455" s="37" t="s">
        <v>711</v>
      </c>
      <c r="C455" s="37" t="s">
        <v>22</v>
      </c>
      <c r="D455" s="37" t="s">
        <v>192</v>
      </c>
      <c r="E455" s="37" t="s">
        <v>202</v>
      </c>
      <c r="F455" s="37" t="s">
        <v>1</v>
      </c>
      <c r="G455" s="38">
        <f>G456</f>
        <v>447107.18999999994</v>
      </c>
      <c r="H455" s="38"/>
    </row>
    <row r="456" spans="1:8" ht="94.5" outlineLevel="7">
      <c r="A456" s="36" t="s">
        <v>704</v>
      </c>
      <c r="B456" s="37" t="s">
        <v>711</v>
      </c>
      <c r="C456" s="37" t="s">
        <v>22</v>
      </c>
      <c r="D456" s="37" t="s">
        <v>192</v>
      </c>
      <c r="E456" s="37" t="s">
        <v>202</v>
      </c>
      <c r="F456" s="37" t="s">
        <v>10</v>
      </c>
      <c r="G456" s="38">
        <f>285000+134000.58+28106.61</f>
        <v>447107.18999999994</v>
      </c>
      <c r="H456" s="38"/>
    </row>
    <row r="457" spans="1:8" ht="110.25" outlineLevel="5">
      <c r="A457" s="36" t="s">
        <v>768</v>
      </c>
      <c r="B457" s="37" t="s">
        <v>711</v>
      </c>
      <c r="C457" s="37" t="s">
        <v>22</v>
      </c>
      <c r="D457" s="37" t="s">
        <v>192</v>
      </c>
      <c r="E457" s="37" t="s">
        <v>203</v>
      </c>
      <c r="F457" s="37" t="s">
        <v>1</v>
      </c>
      <c r="G457" s="38">
        <f>G458</f>
        <v>5819168.09</v>
      </c>
      <c r="H457" s="38"/>
    </row>
    <row r="458" spans="1:8" ht="78.75" outlineLevel="6">
      <c r="A458" s="36" t="s">
        <v>443</v>
      </c>
      <c r="B458" s="37" t="s">
        <v>711</v>
      </c>
      <c r="C458" s="37" t="s">
        <v>22</v>
      </c>
      <c r="D458" s="37" t="s">
        <v>192</v>
      </c>
      <c r="E458" s="37" t="s">
        <v>204</v>
      </c>
      <c r="F458" s="37" t="s">
        <v>1</v>
      </c>
      <c r="G458" s="38">
        <f>G459+G460</f>
        <v>5819168.09</v>
      </c>
      <c r="H458" s="38"/>
    </row>
    <row r="459" spans="1:8" ht="94.5" outlineLevel="7">
      <c r="A459" s="36" t="s">
        <v>704</v>
      </c>
      <c r="B459" s="37" t="s">
        <v>711</v>
      </c>
      <c r="C459" s="37" t="s">
        <v>22</v>
      </c>
      <c r="D459" s="37" t="s">
        <v>192</v>
      </c>
      <c r="E459" s="37" t="s">
        <v>204</v>
      </c>
      <c r="F459" s="37" t="s">
        <v>10</v>
      </c>
      <c r="G459" s="38">
        <f>5630310.41-250349.4-74055.88</f>
        <v>5305905.13</v>
      </c>
      <c r="H459" s="38"/>
    </row>
    <row r="460" spans="1:8" ht="31.5" outlineLevel="7">
      <c r="A460" s="36" t="s">
        <v>689</v>
      </c>
      <c r="B460" s="37" t="s">
        <v>711</v>
      </c>
      <c r="C460" s="37" t="s">
        <v>22</v>
      </c>
      <c r="D460" s="37" t="s">
        <v>192</v>
      </c>
      <c r="E460" s="37" t="s">
        <v>204</v>
      </c>
      <c r="F460" s="37" t="s">
        <v>17</v>
      </c>
      <c r="G460" s="38">
        <f>405261.72-1131.83-800+79933.07+30000</f>
        <v>513262.95999999996</v>
      </c>
      <c r="H460" s="38"/>
    </row>
    <row r="461" spans="1:9" s="35" customFormat="1" ht="31.5" outlineLevel="1">
      <c r="A461" s="32" t="s">
        <v>695</v>
      </c>
      <c r="B461" s="33" t="s">
        <v>711</v>
      </c>
      <c r="C461" s="33" t="s">
        <v>159</v>
      </c>
      <c r="D461" s="33" t="s">
        <v>3</v>
      </c>
      <c r="E461" s="33" t="s">
        <v>4</v>
      </c>
      <c r="F461" s="33" t="s">
        <v>1</v>
      </c>
      <c r="G461" s="34">
        <f>G462+G508+G545+G487</f>
        <v>162150821.64999998</v>
      </c>
      <c r="H461" s="34">
        <f>H462+H508+H545+H487</f>
        <v>31408633.19</v>
      </c>
      <c r="I461" s="106"/>
    </row>
    <row r="462" spans="1:9" s="35" customFormat="1" ht="15.75" outlineLevel="2">
      <c r="A462" s="32" t="s">
        <v>672</v>
      </c>
      <c r="B462" s="33" t="s">
        <v>711</v>
      </c>
      <c r="C462" s="33" t="s">
        <v>159</v>
      </c>
      <c r="D462" s="33" t="s">
        <v>2</v>
      </c>
      <c r="E462" s="33" t="s">
        <v>4</v>
      </c>
      <c r="F462" s="33" t="s">
        <v>1</v>
      </c>
      <c r="G462" s="34">
        <f>G463+J479+G476</f>
        <v>54972735.279999994</v>
      </c>
      <c r="H462" s="34">
        <f>H463+K479+H476</f>
        <v>21819763.19</v>
      </c>
      <c r="I462" s="106"/>
    </row>
    <row r="463" spans="1:9" s="35" customFormat="1" ht="78.75" outlineLevel="3">
      <c r="A463" s="32" t="s">
        <v>656</v>
      </c>
      <c r="B463" s="33" t="s">
        <v>711</v>
      </c>
      <c r="C463" s="33" t="s">
        <v>159</v>
      </c>
      <c r="D463" s="33" t="s">
        <v>2</v>
      </c>
      <c r="E463" s="33" t="s">
        <v>160</v>
      </c>
      <c r="F463" s="33" t="s">
        <v>1</v>
      </c>
      <c r="G463" s="34">
        <f>G464</f>
        <v>51464255.279999994</v>
      </c>
      <c r="H463" s="34">
        <f>H464</f>
        <v>21819763.19</v>
      </c>
      <c r="I463" s="106"/>
    </row>
    <row r="464" spans="1:9" s="35" customFormat="1" ht="47.25" outlineLevel="4">
      <c r="A464" s="32" t="s">
        <v>632</v>
      </c>
      <c r="B464" s="33" t="s">
        <v>711</v>
      </c>
      <c r="C464" s="33" t="s">
        <v>159</v>
      </c>
      <c r="D464" s="33" t="s">
        <v>2</v>
      </c>
      <c r="E464" s="33" t="s">
        <v>205</v>
      </c>
      <c r="F464" s="33" t="s">
        <v>1</v>
      </c>
      <c r="G464" s="34">
        <f>G465+G468+G473</f>
        <v>51464255.279999994</v>
      </c>
      <c r="H464" s="34">
        <f>H465+H468+H473</f>
        <v>21819763.19</v>
      </c>
      <c r="I464" s="106"/>
    </row>
    <row r="465" spans="1:8" ht="15.75" outlineLevel="5">
      <c r="A465" s="36" t="s">
        <v>769</v>
      </c>
      <c r="B465" s="37" t="s">
        <v>711</v>
      </c>
      <c r="C465" s="37" t="s">
        <v>159</v>
      </c>
      <c r="D465" s="37" t="s">
        <v>2</v>
      </c>
      <c r="E465" s="37" t="s">
        <v>206</v>
      </c>
      <c r="F465" s="37" t="s">
        <v>1</v>
      </c>
      <c r="G465" s="38">
        <f>G466</f>
        <v>6532132.869999999</v>
      </c>
      <c r="H465" s="38"/>
    </row>
    <row r="466" spans="1:8" ht="31.5" outlineLevel="6">
      <c r="A466" s="36" t="s">
        <v>456</v>
      </c>
      <c r="B466" s="37" t="s">
        <v>711</v>
      </c>
      <c r="C466" s="37" t="s">
        <v>159</v>
      </c>
      <c r="D466" s="37" t="s">
        <v>2</v>
      </c>
      <c r="E466" s="37" t="s">
        <v>207</v>
      </c>
      <c r="F466" s="37" t="s">
        <v>1</v>
      </c>
      <c r="G466" s="38">
        <f>G467</f>
        <v>6532132.869999999</v>
      </c>
      <c r="H466" s="38"/>
    </row>
    <row r="467" spans="1:8" ht="31.5" outlineLevel="7">
      <c r="A467" s="36" t="s">
        <v>689</v>
      </c>
      <c r="B467" s="37" t="s">
        <v>711</v>
      </c>
      <c r="C467" s="37" t="s">
        <v>159</v>
      </c>
      <c r="D467" s="37" t="s">
        <v>2</v>
      </c>
      <c r="E467" s="37" t="s">
        <v>207</v>
      </c>
      <c r="F467" s="37" t="s">
        <v>17</v>
      </c>
      <c r="G467" s="38">
        <f>7452219.18-920086.31</f>
        <v>6532132.869999999</v>
      </c>
      <c r="H467" s="38"/>
    </row>
    <row r="468" spans="1:8" ht="63" outlineLevel="5">
      <c r="A468" s="103" t="s">
        <v>547</v>
      </c>
      <c r="B468" s="104" t="s">
        <v>711</v>
      </c>
      <c r="C468" s="104" t="s">
        <v>159</v>
      </c>
      <c r="D468" s="104" t="s">
        <v>2</v>
      </c>
      <c r="E468" s="104" t="s">
        <v>208</v>
      </c>
      <c r="F468" s="104" t="s">
        <v>1</v>
      </c>
      <c r="G468" s="105">
        <f>G471+G469</f>
        <v>42141426.47</v>
      </c>
      <c r="H468" s="105">
        <f>H471+H469</f>
        <v>21819763.19</v>
      </c>
    </row>
    <row r="469" spans="1:8" ht="78.75" outlineLevel="5">
      <c r="A469" s="36" t="s">
        <v>920</v>
      </c>
      <c r="B469" s="37" t="s">
        <v>711</v>
      </c>
      <c r="C469" s="37" t="s">
        <v>159</v>
      </c>
      <c r="D469" s="37" t="s">
        <v>2</v>
      </c>
      <c r="E469" s="37" t="s">
        <v>921</v>
      </c>
      <c r="F469" s="37" t="s">
        <v>1</v>
      </c>
      <c r="G469" s="38">
        <f>G470</f>
        <v>21819763.19</v>
      </c>
      <c r="H469" s="38">
        <f>G469</f>
        <v>21819763.19</v>
      </c>
    </row>
    <row r="470" spans="1:8" ht="31.5" outlineLevel="5">
      <c r="A470" s="36" t="s">
        <v>689</v>
      </c>
      <c r="B470" s="37" t="s">
        <v>711</v>
      </c>
      <c r="C470" s="37" t="s">
        <v>159</v>
      </c>
      <c r="D470" s="37" t="s">
        <v>2</v>
      </c>
      <c r="E470" s="37" t="s">
        <v>921</v>
      </c>
      <c r="F470" s="37" t="s">
        <v>17</v>
      </c>
      <c r="G470" s="38">
        <f>21819763.19</f>
        <v>21819763.19</v>
      </c>
      <c r="H470" s="38">
        <f>G470</f>
        <v>21819763.19</v>
      </c>
    </row>
    <row r="471" spans="1:8" ht="78.75" outlineLevel="6">
      <c r="A471" s="36" t="s">
        <v>920</v>
      </c>
      <c r="B471" s="37" t="s">
        <v>711</v>
      </c>
      <c r="C471" s="37" t="s">
        <v>159</v>
      </c>
      <c r="D471" s="37" t="s">
        <v>2</v>
      </c>
      <c r="E471" s="37" t="s">
        <v>919</v>
      </c>
      <c r="F471" s="37" t="s">
        <v>1</v>
      </c>
      <c r="G471" s="38">
        <f>G472</f>
        <v>20321663.28</v>
      </c>
      <c r="H471" s="38"/>
    </row>
    <row r="472" spans="1:8" ht="31.5" outlineLevel="7">
      <c r="A472" s="36" t="s">
        <v>689</v>
      </c>
      <c r="B472" s="37" t="s">
        <v>711</v>
      </c>
      <c r="C472" s="37" t="s">
        <v>159</v>
      </c>
      <c r="D472" s="37" t="s">
        <v>2</v>
      </c>
      <c r="E472" s="37" t="s">
        <v>919</v>
      </c>
      <c r="F472" s="37" t="s">
        <v>17</v>
      </c>
      <c r="G472" s="38">
        <v>20321663.28</v>
      </c>
      <c r="H472" s="38"/>
    </row>
    <row r="473" spans="1:8" ht="63" outlineLevel="5">
      <c r="A473" s="36" t="s">
        <v>770</v>
      </c>
      <c r="B473" s="37" t="s">
        <v>711</v>
      </c>
      <c r="C473" s="37" t="s">
        <v>159</v>
      </c>
      <c r="D473" s="37" t="s">
        <v>2</v>
      </c>
      <c r="E473" s="37" t="s">
        <v>209</v>
      </c>
      <c r="F473" s="37" t="s">
        <v>1</v>
      </c>
      <c r="G473" s="38">
        <f>G474</f>
        <v>2790695.94</v>
      </c>
      <c r="H473" s="38"/>
    </row>
    <row r="474" spans="1:8" ht="31.5" outlineLevel="6">
      <c r="A474" s="36" t="s">
        <v>459</v>
      </c>
      <c r="B474" s="37" t="s">
        <v>711</v>
      </c>
      <c r="C474" s="37" t="s">
        <v>159</v>
      </c>
      <c r="D474" s="37" t="s">
        <v>2</v>
      </c>
      <c r="E474" s="37" t="s">
        <v>210</v>
      </c>
      <c r="F474" s="37" t="s">
        <v>1</v>
      </c>
      <c r="G474" s="38">
        <f>G475</f>
        <v>2790695.94</v>
      </c>
      <c r="H474" s="38"/>
    </row>
    <row r="475" spans="1:8" ht="31.5" outlineLevel="7">
      <c r="A475" s="36" t="s">
        <v>689</v>
      </c>
      <c r="B475" s="37" t="s">
        <v>711</v>
      </c>
      <c r="C475" s="37" t="s">
        <v>159</v>
      </c>
      <c r="D475" s="37" t="s">
        <v>2</v>
      </c>
      <c r="E475" s="37" t="s">
        <v>210</v>
      </c>
      <c r="F475" s="37" t="s">
        <v>17</v>
      </c>
      <c r="G475" s="38">
        <v>2790695.94</v>
      </c>
      <c r="H475" s="38"/>
    </row>
    <row r="476" spans="1:9" s="35" customFormat="1" ht="47.25" outlineLevel="4">
      <c r="A476" s="32" t="s">
        <v>618</v>
      </c>
      <c r="B476" s="33" t="s">
        <v>711</v>
      </c>
      <c r="C476" s="33" t="s">
        <v>159</v>
      </c>
      <c r="D476" s="33" t="s">
        <v>2</v>
      </c>
      <c r="E476" s="33" t="s">
        <v>80</v>
      </c>
      <c r="F476" s="33" t="s">
        <v>1</v>
      </c>
      <c r="G476" s="34">
        <f>G477+G480+G483</f>
        <v>3508480</v>
      </c>
      <c r="H476" s="34"/>
      <c r="I476" s="106"/>
    </row>
    <row r="477" spans="1:8" ht="47.25" outlineLevel="5">
      <c r="A477" s="36" t="s">
        <v>922</v>
      </c>
      <c r="B477" s="37" t="s">
        <v>711</v>
      </c>
      <c r="C477" s="37" t="s">
        <v>159</v>
      </c>
      <c r="D477" s="37" t="s">
        <v>2</v>
      </c>
      <c r="E477" s="37" t="s">
        <v>923</v>
      </c>
      <c r="F477" s="37" t="s">
        <v>1</v>
      </c>
      <c r="G477" s="38">
        <f>G478</f>
        <v>2400000</v>
      </c>
      <c r="H477" s="38"/>
    </row>
    <row r="478" spans="1:8" ht="31.5" outlineLevel="6">
      <c r="A478" s="36" t="s">
        <v>441</v>
      </c>
      <c r="B478" s="37" t="s">
        <v>711</v>
      </c>
      <c r="C478" s="37" t="s">
        <v>159</v>
      </c>
      <c r="D478" s="37" t="s">
        <v>2</v>
      </c>
      <c r="E478" s="37" t="s">
        <v>924</v>
      </c>
      <c r="F478" s="37" t="s">
        <v>1</v>
      </c>
      <c r="G478" s="38">
        <f>G479</f>
        <v>2400000</v>
      </c>
      <c r="H478" s="38"/>
    </row>
    <row r="479" spans="1:8" ht="31.5" outlineLevel="7">
      <c r="A479" s="36" t="s">
        <v>689</v>
      </c>
      <c r="B479" s="37" t="s">
        <v>711</v>
      </c>
      <c r="C479" s="37" t="s">
        <v>159</v>
      </c>
      <c r="D479" s="37" t="s">
        <v>2</v>
      </c>
      <c r="E479" s="37" t="s">
        <v>924</v>
      </c>
      <c r="F479" s="37" t="s">
        <v>17</v>
      </c>
      <c r="G479" s="38">
        <f>2416350-16350</f>
        <v>2400000</v>
      </c>
      <c r="H479" s="38"/>
    </row>
    <row r="480" spans="1:8" ht="47.25" outlineLevel="7">
      <c r="A480" s="36" t="s">
        <v>895</v>
      </c>
      <c r="B480" s="37" t="s">
        <v>711</v>
      </c>
      <c r="C480" s="37" t="s">
        <v>159</v>
      </c>
      <c r="D480" s="37" t="s">
        <v>2</v>
      </c>
      <c r="E480" s="37" t="s">
        <v>896</v>
      </c>
      <c r="F480" s="37" t="s">
        <v>1</v>
      </c>
      <c r="G480" s="38">
        <f>G481</f>
        <v>381600</v>
      </c>
      <c r="H480" s="38"/>
    </row>
    <row r="481" spans="1:8" ht="31.5" outlineLevel="7">
      <c r="A481" s="36" t="s">
        <v>441</v>
      </c>
      <c r="B481" s="37" t="s">
        <v>711</v>
      </c>
      <c r="C481" s="37" t="s">
        <v>159</v>
      </c>
      <c r="D481" s="37" t="s">
        <v>2</v>
      </c>
      <c r="E481" s="37" t="s">
        <v>897</v>
      </c>
      <c r="F481" s="37" t="s">
        <v>1</v>
      </c>
      <c r="G481" s="38">
        <f>G482</f>
        <v>381600</v>
      </c>
      <c r="H481" s="38"/>
    </row>
    <row r="482" spans="1:8" ht="31.5" outlineLevel="7">
      <c r="A482" s="36" t="s">
        <v>689</v>
      </c>
      <c r="B482" s="37" t="s">
        <v>711</v>
      </c>
      <c r="C482" s="37" t="s">
        <v>159</v>
      </c>
      <c r="D482" s="37" t="s">
        <v>2</v>
      </c>
      <c r="E482" s="37" t="s">
        <v>897</v>
      </c>
      <c r="F482" s="37" t="s">
        <v>17</v>
      </c>
      <c r="G482" s="38">
        <f>381600</f>
        <v>381600</v>
      </c>
      <c r="H482" s="38"/>
    </row>
    <row r="483" spans="1:8" ht="63" outlineLevel="7">
      <c r="A483" s="36" t="s">
        <v>898</v>
      </c>
      <c r="B483" s="37" t="s">
        <v>711</v>
      </c>
      <c r="C483" s="37" t="s">
        <v>159</v>
      </c>
      <c r="D483" s="37" t="s">
        <v>2</v>
      </c>
      <c r="E483" s="37" t="s">
        <v>899</v>
      </c>
      <c r="F483" s="37" t="s">
        <v>1</v>
      </c>
      <c r="G483" s="38">
        <f>G484</f>
        <v>726880</v>
      </c>
      <c r="H483" s="38"/>
    </row>
    <row r="484" spans="1:8" ht="31.5" outlineLevel="7">
      <c r="A484" s="36" t="s">
        <v>441</v>
      </c>
      <c r="B484" s="37" t="s">
        <v>711</v>
      </c>
      <c r="C484" s="37" t="s">
        <v>159</v>
      </c>
      <c r="D484" s="37" t="s">
        <v>2</v>
      </c>
      <c r="E484" s="37" t="s">
        <v>900</v>
      </c>
      <c r="F484" s="37" t="s">
        <v>1</v>
      </c>
      <c r="G484" s="38">
        <f>G485</f>
        <v>726880</v>
      </c>
      <c r="H484" s="38"/>
    </row>
    <row r="485" spans="1:8" ht="31.5" outlineLevel="7">
      <c r="A485" s="36" t="s">
        <v>689</v>
      </c>
      <c r="B485" s="37" t="s">
        <v>711</v>
      </c>
      <c r="C485" s="37" t="s">
        <v>159</v>
      </c>
      <c r="D485" s="37" t="s">
        <v>2</v>
      </c>
      <c r="E485" s="37" t="s">
        <v>900</v>
      </c>
      <c r="F485" s="37" t="s">
        <v>17</v>
      </c>
      <c r="G485" s="38">
        <f>304880+422000</f>
        <v>726880</v>
      </c>
      <c r="H485" s="38"/>
    </row>
    <row r="486" spans="1:8" ht="15.75" outlineLevel="7">
      <c r="A486" s="42" t="s">
        <v>673</v>
      </c>
      <c r="B486" s="33" t="s">
        <v>711</v>
      </c>
      <c r="C486" s="33" t="s">
        <v>159</v>
      </c>
      <c r="D486" s="33" t="s">
        <v>5</v>
      </c>
      <c r="E486" s="43" t="s">
        <v>4</v>
      </c>
      <c r="F486" s="43" t="s">
        <v>1</v>
      </c>
      <c r="G486" s="34">
        <f>G487</f>
        <v>58668214.95</v>
      </c>
      <c r="H486" s="38"/>
    </row>
    <row r="487" spans="1:9" s="35" customFormat="1" ht="78.75" outlineLevel="3">
      <c r="A487" s="32" t="s">
        <v>656</v>
      </c>
      <c r="B487" s="33" t="s">
        <v>711</v>
      </c>
      <c r="C487" s="33" t="s">
        <v>159</v>
      </c>
      <c r="D487" s="33" t="s">
        <v>5</v>
      </c>
      <c r="E487" s="33" t="s">
        <v>160</v>
      </c>
      <c r="F487" s="33" t="s">
        <v>1</v>
      </c>
      <c r="G487" s="34">
        <f>G488+G498</f>
        <v>58668214.95</v>
      </c>
      <c r="H487" s="34"/>
      <c r="I487" s="106"/>
    </row>
    <row r="488" spans="1:9" s="35" customFormat="1" ht="63" outlineLevel="4">
      <c r="A488" s="32" t="s">
        <v>633</v>
      </c>
      <c r="B488" s="33" t="s">
        <v>711</v>
      </c>
      <c r="C488" s="33" t="s">
        <v>159</v>
      </c>
      <c r="D488" s="33" t="s">
        <v>5</v>
      </c>
      <c r="E488" s="33" t="s">
        <v>211</v>
      </c>
      <c r="F488" s="33" t="s">
        <v>1</v>
      </c>
      <c r="G488" s="34">
        <f>G489+G492+G495</f>
        <v>1869900</v>
      </c>
      <c r="H488" s="34"/>
      <c r="I488" s="106"/>
    </row>
    <row r="489" spans="1:8" ht="15.75" outlineLevel="5">
      <c r="A489" s="36" t="s">
        <v>844</v>
      </c>
      <c r="B489" s="37" t="s">
        <v>711</v>
      </c>
      <c r="C489" s="37" t="s">
        <v>159</v>
      </c>
      <c r="D489" s="37" t="s">
        <v>5</v>
      </c>
      <c r="E489" s="37" t="s">
        <v>212</v>
      </c>
      <c r="F489" s="37" t="s">
        <v>1</v>
      </c>
      <c r="G489" s="38">
        <f>G490</f>
        <v>490000</v>
      </c>
      <c r="H489" s="38"/>
    </row>
    <row r="490" spans="1:8" ht="31.5" outlineLevel="6">
      <c r="A490" s="36" t="s">
        <v>460</v>
      </c>
      <c r="B490" s="37" t="s">
        <v>711</v>
      </c>
      <c r="C490" s="37" t="s">
        <v>159</v>
      </c>
      <c r="D490" s="37" t="s">
        <v>5</v>
      </c>
      <c r="E490" s="37" t="s">
        <v>213</v>
      </c>
      <c r="F490" s="37" t="s">
        <v>1</v>
      </c>
      <c r="G490" s="38">
        <f>G491</f>
        <v>490000</v>
      </c>
      <c r="H490" s="38"/>
    </row>
    <row r="491" spans="1:8" ht="31.5" outlineLevel="7">
      <c r="A491" s="36" t="s">
        <v>689</v>
      </c>
      <c r="B491" s="37" t="s">
        <v>711</v>
      </c>
      <c r="C491" s="37" t="s">
        <v>159</v>
      </c>
      <c r="D491" s="37" t="s">
        <v>5</v>
      </c>
      <c r="E491" s="37" t="s">
        <v>213</v>
      </c>
      <c r="F491" s="37" t="s">
        <v>17</v>
      </c>
      <c r="G491" s="38">
        <f>565337.64-66315.64-9022</f>
        <v>490000</v>
      </c>
      <c r="H491" s="38"/>
    </row>
    <row r="492" spans="1:8" ht="15.75" outlineLevel="5">
      <c r="A492" s="36" t="s">
        <v>845</v>
      </c>
      <c r="B492" s="37" t="s">
        <v>711</v>
      </c>
      <c r="C492" s="37" t="s">
        <v>159</v>
      </c>
      <c r="D492" s="37" t="s">
        <v>5</v>
      </c>
      <c r="E492" s="37" t="s">
        <v>214</v>
      </c>
      <c r="F492" s="37" t="s">
        <v>1</v>
      </c>
      <c r="G492" s="38">
        <f>G493</f>
        <v>979999.9999999999</v>
      </c>
      <c r="H492" s="38"/>
    </row>
    <row r="493" spans="1:8" ht="31.5" outlineLevel="6">
      <c r="A493" s="36" t="s">
        <v>460</v>
      </c>
      <c r="B493" s="37" t="s">
        <v>711</v>
      </c>
      <c r="C493" s="37" t="s">
        <v>159</v>
      </c>
      <c r="D493" s="37" t="s">
        <v>5</v>
      </c>
      <c r="E493" s="37" t="s">
        <v>215</v>
      </c>
      <c r="F493" s="37" t="s">
        <v>1</v>
      </c>
      <c r="G493" s="38">
        <f>G494</f>
        <v>979999.9999999999</v>
      </c>
      <c r="H493" s="38"/>
    </row>
    <row r="494" spans="1:8" ht="31.5" outlineLevel="7">
      <c r="A494" s="36" t="s">
        <v>689</v>
      </c>
      <c r="B494" s="37" t="s">
        <v>711</v>
      </c>
      <c r="C494" s="37" t="s">
        <v>159</v>
      </c>
      <c r="D494" s="37" t="s">
        <v>5</v>
      </c>
      <c r="E494" s="37" t="s">
        <v>215</v>
      </c>
      <c r="F494" s="37" t="s">
        <v>17</v>
      </c>
      <c r="G494" s="38">
        <f>1060829.9-51870.1-28959.8</f>
        <v>979999.9999999999</v>
      </c>
      <c r="H494" s="38"/>
    </row>
    <row r="495" spans="1:8" ht="47.25" outlineLevel="7">
      <c r="A495" s="36" t="s">
        <v>885</v>
      </c>
      <c r="B495" s="37" t="s">
        <v>711</v>
      </c>
      <c r="C495" s="37" t="s">
        <v>159</v>
      </c>
      <c r="D495" s="37" t="s">
        <v>5</v>
      </c>
      <c r="E495" s="37" t="s">
        <v>886</v>
      </c>
      <c r="F495" s="37" t="s">
        <v>1</v>
      </c>
      <c r="G495" s="38">
        <f>G496</f>
        <v>399900</v>
      </c>
      <c r="H495" s="38"/>
    </row>
    <row r="496" spans="1:8" ht="31.5" outlineLevel="7">
      <c r="A496" s="36" t="s">
        <v>441</v>
      </c>
      <c r="B496" s="37" t="s">
        <v>711</v>
      </c>
      <c r="C496" s="37" t="s">
        <v>159</v>
      </c>
      <c r="D496" s="37" t="s">
        <v>5</v>
      </c>
      <c r="E496" s="37" t="s">
        <v>887</v>
      </c>
      <c r="F496" s="37" t="s">
        <v>1</v>
      </c>
      <c r="G496" s="38">
        <f>G497</f>
        <v>399900</v>
      </c>
      <c r="H496" s="38"/>
    </row>
    <row r="497" spans="1:8" ht="31.5" outlineLevel="7">
      <c r="A497" s="36" t="s">
        <v>689</v>
      </c>
      <c r="B497" s="37" t="s">
        <v>711</v>
      </c>
      <c r="C497" s="37" t="s">
        <v>159</v>
      </c>
      <c r="D497" s="37" t="s">
        <v>5</v>
      </c>
      <c r="E497" s="37" t="s">
        <v>887</v>
      </c>
      <c r="F497" s="37" t="s">
        <v>17</v>
      </c>
      <c r="G497" s="38">
        <f>400000-100</f>
        <v>399900</v>
      </c>
      <c r="H497" s="38"/>
    </row>
    <row r="498" spans="1:9" s="35" customFormat="1" ht="63" outlineLevel="4">
      <c r="A498" s="117" t="s">
        <v>634</v>
      </c>
      <c r="B498" s="118" t="s">
        <v>711</v>
      </c>
      <c r="C498" s="118" t="s">
        <v>159</v>
      </c>
      <c r="D498" s="118" t="s">
        <v>5</v>
      </c>
      <c r="E498" s="118" t="s">
        <v>216</v>
      </c>
      <c r="F498" s="118" t="s">
        <v>1</v>
      </c>
      <c r="G498" s="119">
        <f>G499+G502+G505</f>
        <v>56798314.95</v>
      </c>
      <c r="H498" s="119"/>
      <c r="I498" s="106"/>
    </row>
    <row r="499" spans="1:8" ht="78.75" hidden="1" outlineLevel="5">
      <c r="A499" s="117" t="s">
        <v>771</v>
      </c>
      <c r="B499" s="118" t="s">
        <v>711</v>
      </c>
      <c r="C499" s="118" t="s">
        <v>159</v>
      </c>
      <c r="D499" s="118" t="s">
        <v>5</v>
      </c>
      <c r="E499" s="118" t="s">
        <v>217</v>
      </c>
      <c r="F499" s="118" t="s">
        <v>1</v>
      </c>
      <c r="G499" s="119">
        <f>G500</f>
        <v>0</v>
      </c>
      <c r="H499" s="119"/>
    </row>
    <row r="500" spans="1:8" ht="31.5" hidden="1" outlineLevel="6">
      <c r="A500" s="117" t="s">
        <v>461</v>
      </c>
      <c r="B500" s="118" t="s">
        <v>711</v>
      </c>
      <c r="C500" s="118" t="s">
        <v>159</v>
      </c>
      <c r="D500" s="118" t="s">
        <v>5</v>
      </c>
      <c r="E500" s="118" t="s">
        <v>218</v>
      </c>
      <c r="F500" s="118" t="s">
        <v>1</v>
      </c>
      <c r="G500" s="119">
        <f>G501</f>
        <v>0</v>
      </c>
      <c r="H500" s="119"/>
    </row>
    <row r="501" spans="1:8" ht="15.75" hidden="1" outlineLevel="7">
      <c r="A501" s="117" t="s">
        <v>691</v>
      </c>
      <c r="B501" s="118" t="s">
        <v>711</v>
      </c>
      <c r="C501" s="118" t="s">
        <v>159</v>
      </c>
      <c r="D501" s="118" t="s">
        <v>5</v>
      </c>
      <c r="E501" s="118" t="s">
        <v>218</v>
      </c>
      <c r="F501" s="118" t="s">
        <v>65</v>
      </c>
      <c r="G501" s="119">
        <f>13482633.29-13482633.29</f>
        <v>0</v>
      </c>
      <c r="H501" s="119"/>
    </row>
    <row r="502" spans="1:8" ht="47.25" outlineLevel="5" collapsed="1">
      <c r="A502" s="117" t="s">
        <v>772</v>
      </c>
      <c r="B502" s="118" t="s">
        <v>711</v>
      </c>
      <c r="C502" s="118" t="s">
        <v>159</v>
      </c>
      <c r="D502" s="118" t="s">
        <v>5</v>
      </c>
      <c r="E502" s="118" t="s">
        <v>219</v>
      </c>
      <c r="F502" s="118" t="s">
        <v>1</v>
      </c>
      <c r="G502" s="119">
        <f>G503</f>
        <v>26728.0600000003</v>
      </c>
      <c r="H502" s="119"/>
    </row>
    <row r="503" spans="1:8" ht="31.5" outlineLevel="6">
      <c r="A503" s="103" t="s">
        <v>441</v>
      </c>
      <c r="B503" s="104" t="s">
        <v>711</v>
      </c>
      <c r="C503" s="104" t="s">
        <v>159</v>
      </c>
      <c r="D503" s="104" t="s">
        <v>5</v>
      </c>
      <c r="E503" s="104" t="s">
        <v>220</v>
      </c>
      <c r="F503" s="104" t="s">
        <v>1</v>
      </c>
      <c r="G503" s="105">
        <f>G504</f>
        <v>26728.0600000003</v>
      </c>
      <c r="H503" s="105"/>
    </row>
    <row r="504" spans="1:9" ht="31.5" outlineLevel="7">
      <c r="A504" s="103" t="s">
        <v>689</v>
      </c>
      <c r="B504" s="104" t="s">
        <v>711</v>
      </c>
      <c r="C504" s="104" t="s">
        <v>159</v>
      </c>
      <c r="D504" s="104" t="s">
        <v>5</v>
      </c>
      <c r="E504" s="104" t="s">
        <v>220</v>
      </c>
      <c r="F504" s="104" t="s">
        <v>17</v>
      </c>
      <c r="G504" s="105">
        <f>2509380.7+10396791.53-132000+39259000-79289.95+32504.07-51953882.28-32504.07+26728.06</f>
        <v>26728.0600000003</v>
      </c>
      <c r="H504" s="105"/>
      <c r="I504" s="125"/>
    </row>
    <row r="505" spans="1:10" ht="31.5" outlineLevel="7">
      <c r="A505" s="103" t="s">
        <v>925</v>
      </c>
      <c r="B505" s="104" t="s">
        <v>711</v>
      </c>
      <c r="C505" s="104" t="s">
        <v>159</v>
      </c>
      <c r="D505" s="104" t="s">
        <v>5</v>
      </c>
      <c r="E505" s="104" t="s">
        <v>926</v>
      </c>
      <c r="F505" s="104" t="s">
        <v>1</v>
      </c>
      <c r="G505" s="105">
        <f>G506</f>
        <v>56771586.89</v>
      </c>
      <c r="H505" s="119"/>
      <c r="I505" s="125"/>
      <c r="J505" s="124"/>
    </row>
    <row r="506" spans="1:8" ht="31.5" outlineLevel="7">
      <c r="A506" s="103" t="s">
        <v>441</v>
      </c>
      <c r="B506" s="104" t="s">
        <v>711</v>
      </c>
      <c r="C506" s="104" t="s">
        <v>159</v>
      </c>
      <c r="D506" s="104" t="s">
        <v>5</v>
      </c>
      <c r="E506" s="104" t="s">
        <v>927</v>
      </c>
      <c r="F506" s="104" t="s">
        <v>1</v>
      </c>
      <c r="G506" s="105">
        <f>G507</f>
        <v>56771586.89</v>
      </c>
      <c r="H506" s="119"/>
    </row>
    <row r="507" spans="1:8" ht="31.5" outlineLevel="7">
      <c r="A507" s="103" t="s">
        <v>689</v>
      </c>
      <c r="B507" s="104" t="s">
        <v>711</v>
      </c>
      <c r="C507" s="104" t="s">
        <v>159</v>
      </c>
      <c r="D507" s="104" t="s">
        <v>5</v>
      </c>
      <c r="E507" s="104" t="s">
        <v>927</v>
      </c>
      <c r="F507" s="104" t="s">
        <v>17</v>
      </c>
      <c r="G507" s="105">
        <f>51953882.28-86871.39+32504.07+1145484.19+3000000+726587.74</f>
        <v>56771586.89</v>
      </c>
      <c r="H507" s="119"/>
    </row>
    <row r="508" spans="1:9" s="35" customFormat="1" ht="15.75" outlineLevel="2">
      <c r="A508" s="32" t="s">
        <v>674</v>
      </c>
      <c r="B508" s="33" t="s">
        <v>711</v>
      </c>
      <c r="C508" s="33" t="s">
        <v>159</v>
      </c>
      <c r="D508" s="33" t="s">
        <v>14</v>
      </c>
      <c r="E508" s="33" t="s">
        <v>4</v>
      </c>
      <c r="F508" s="33" t="s">
        <v>1</v>
      </c>
      <c r="G508" s="34">
        <f>G509</f>
        <v>46433815.12</v>
      </c>
      <c r="H508" s="34">
        <f>H509</f>
        <v>9588870</v>
      </c>
      <c r="I508" s="106"/>
    </row>
    <row r="509" spans="1:9" s="35" customFormat="1" ht="78.75" outlineLevel="3">
      <c r="A509" s="32" t="s">
        <v>656</v>
      </c>
      <c r="B509" s="33" t="s">
        <v>711</v>
      </c>
      <c r="C509" s="33" t="s">
        <v>159</v>
      </c>
      <c r="D509" s="33" t="s">
        <v>14</v>
      </c>
      <c r="E509" s="33" t="s">
        <v>160</v>
      </c>
      <c r="F509" s="33" t="s">
        <v>1</v>
      </c>
      <c r="G509" s="34">
        <f>G510</f>
        <v>46433815.12</v>
      </c>
      <c r="H509" s="34">
        <f>H510</f>
        <v>9588870</v>
      </c>
      <c r="I509" s="106"/>
    </row>
    <row r="510" spans="1:9" s="35" customFormat="1" ht="47.25" outlineLevel="4">
      <c r="A510" s="32" t="s">
        <v>626</v>
      </c>
      <c r="B510" s="33" t="s">
        <v>711</v>
      </c>
      <c r="C510" s="33" t="s">
        <v>159</v>
      </c>
      <c r="D510" s="33" t="s">
        <v>14</v>
      </c>
      <c r="E510" s="33" t="s">
        <v>161</v>
      </c>
      <c r="F510" s="33" t="s">
        <v>1</v>
      </c>
      <c r="G510" s="34">
        <f>G511+G514+G517+G522+G536+G539+G527+G542</f>
        <v>46433815.12</v>
      </c>
      <c r="H510" s="34">
        <f>H511+H514+H517+H522+H536+H539+H527+H542</f>
        <v>9588870</v>
      </c>
      <c r="I510" s="106"/>
    </row>
    <row r="511" spans="1:8" ht="47.25" outlineLevel="5">
      <c r="A511" s="36" t="s">
        <v>773</v>
      </c>
      <c r="B511" s="37" t="s">
        <v>711</v>
      </c>
      <c r="C511" s="37" t="s">
        <v>159</v>
      </c>
      <c r="D511" s="37" t="s">
        <v>14</v>
      </c>
      <c r="E511" s="37" t="s">
        <v>221</v>
      </c>
      <c r="F511" s="37" t="s">
        <v>1</v>
      </c>
      <c r="G511" s="38">
        <f>G512</f>
        <v>15425832.75</v>
      </c>
      <c r="H511" s="38"/>
    </row>
    <row r="512" spans="1:8" ht="47.25" outlineLevel="6">
      <c r="A512" s="36" t="s">
        <v>462</v>
      </c>
      <c r="B512" s="37" t="s">
        <v>711</v>
      </c>
      <c r="C512" s="37" t="s">
        <v>159</v>
      </c>
      <c r="D512" s="37" t="s">
        <v>14</v>
      </c>
      <c r="E512" s="37" t="s">
        <v>222</v>
      </c>
      <c r="F512" s="37" t="s">
        <v>1</v>
      </c>
      <c r="G512" s="38">
        <f>G513</f>
        <v>15425832.75</v>
      </c>
      <c r="H512" s="38"/>
    </row>
    <row r="513" spans="1:8" ht="31.5" outlineLevel="7">
      <c r="A513" s="36" t="s">
        <v>689</v>
      </c>
      <c r="B513" s="37" t="s">
        <v>711</v>
      </c>
      <c r="C513" s="37" t="s">
        <v>159</v>
      </c>
      <c r="D513" s="37" t="s">
        <v>14</v>
      </c>
      <c r="E513" s="37" t="s">
        <v>222</v>
      </c>
      <c r="F513" s="37" t="s">
        <v>17</v>
      </c>
      <c r="G513" s="38">
        <f>15953571.42-527738.67</f>
        <v>15425832.75</v>
      </c>
      <c r="H513" s="38"/>
    </row>
    <row r="514" spans="1:8" ht="78.75" outlineLevel="5">
      <c r="A514" s="36" t="s">
        <v>774</v>
      </c>
      <c r="B514" s="37" t="s">
        <v>711</v>
      </c>
      <c r="C514" s="37" t="s">
        <v>159</v>
      </c>
      <c r="D514" s="37" t="s">
        <v>14</v>
      </c>
      <c r="E514" s="37" t="s">
        <v>223</v>
      </c>
      <c r="F514" s="37" t="s">
        <v>1</v>
      </c>
      <c r="G514" s="38">
        <f>G515</f>
        <v>10594692.879999999</v>
      </c>
      <c r="H514" s="38"/>
    </row>
    <row r="515" spans="1:8" ht="47.25" outlineLevel="6">
      <c r="A515" s="36" t="s">
        <v>463</v>
      </c>
      <c r="B515" s="37" t="s">
        <v>711</v>
      </c>
      <c r="C515" s="37" t="s">
        <v>159</v>
      </c>
      <c r="D515" s="37" t="s">
        <v>14</v>
      </c>
      <c r="E515" s="37" t="s">
        <v>224</v>
      </c>
      <c r="F515" s="37" t="s">
        <v>1</v>
      </c>
      <c r="G515" s="38">
        <f>G516</f>
        <v>10594692.879999999</v>
      </c>
      <c r="H515" s="38"/>
    </row>
    <row r="516" spans="1:8" ht="31.5" outlineLevel="7">
      <c r="A516" s="36" t="s">
        <v>689</v>
      </c>
      <c r="B516" s="37" t="s">
        <v>711</v>
      </c>
      <c r="C516" s="37" t="s">
        <v>159</v>
      </c>
      <c r="D516" s="37" t="s">
        <v>14</v>
      </c>
      <c r="E516" s="37" t="s">
        <v>224</v>
      </c>
      <c r="F516" s="37" t="s">
        <v>17</v>
      </c>
      <c r="G516" s="38">
        <f>13274260.85-2445935.69-5914.96-227717.32</f>
        <v>10594692.879999999</v>
      </c>
      <c r="H516" s="38"/>
    </row>
    <row r="517" spans="1:8" ht="63" outlineLevel="5">
      <c r="A517" s="36" t="s">
        <v>775</v>
      </c>
      <c r="B517" s="37" t="s">
        <v>711</v>
      </c>
      <c r="C517" s="37" t="s">
        <v>159</v>
      </c>
      <c r="D517" s="37" t="s">
        <v>14</v>
      </c>
      <c r="E517" s="37" t="s">
        <v>225</v>
      </c>
      <c r="F517" s="37" t="s">
        <v>1</v>
      </c>
      <c r="G517" s="38">
        <f>G518+G520</f>
        <v>1825978.28</v>
      </c>
      <c r="H517" s="38"/>
    </row>
    <row r="518" spans="1:8" ht="31.5" outlineLevel="6">
      <c r="A518" s="36" t="s">
        <v>456</v>
      </c>
      <c r="B518" s="37" t="s">
        <v>711</v>
      </c>
      <c r="C518" s="37" t="s">
        <v>159</v>
      </c>
      <c r="D518" s="37" t="s">
        <v>14</v>
      </c>
      <c r="E518" s="37" t="s">
        <v>226</v>
      </c>
      <c r="F518" s="37" t="s">
        <v>1</v>
      </c>
      <c r="G518" s="38">
        <f>G519</f>
        <v>1728197.8900000001</v>
      </c>
      <c r="H518" s="38"/>
    </row>
    <row r="519" spans="1:8" ht="31.5" outlineLevel="7">
      <c r="A519" s="36" t="s">
        <v>689</v>
      </c>
      <c r="B519" s="37" t="s">
        <v>711</v>
      </c>
      <c r="C519" s="37" t="s">
        <v>159</v>
      </c>
      <c r="D519" s="37" t="s">
        <v>14</v>
      </c>
      <c r="E519" s="37" t="s">
        <v>226</v>
      </c>
      <c r="F519" s="37" t="s">
        <v>17</v>
      </c>
      <c r="G519" s="38">
        <f>403340.65+128394.54+1024141.08+172321.62</f>
        <v>1728197.8900000001</v>
      </c>
      <c r="H519" s="38"/>
    </row>
    <row r="520" spans="1:8" ht="31.5" outlineLevel="7">
      <c r="A520" s="36" t="s">
        <v>441</v>
      </c>
      <c r="B520" s="37" t="s">
        <v>711</v>
      </c>
      <c r="C520" s="37" t="s">
        <v>159</v>
      </c>
      <c r="D520" s="37" t="s">
        <v>14</v>
      </c>
      <c r="E520" s="37" t="s">
        <v>957</v>
      </c>
      <c r="F520" s="37" t="s">
        <v>1</v>
      </c>
      <c r="G520" s="38">
        <f>G521</f>
        <v>97780.39</v>
      </c>
      <c r="H520" s="38"/>
    </row>
    <row r="521" spans="1:8" ht="31.5" outlineLevel="7">
      <c r="A521" s="36" t="s">
        <v>689</v>
      </c>
      <c r="B521" s="37" t="s">
        <v>711</v>
      </c>
      <c r="C521" s="37" t="s">
        <v>159</v>
      </c>
      <c r="D521" s="37" t="s">
        <v>14</v>
      </c>
      <c r="E521" s="37" t="s">
        <v>957</v>
      </c>
      <c r="F521" s="37" t="s">
        <v>17</v>
      </c>
      <c r="G521" s="38">
        <v>97780.39</v>
      </c>
      <c r="H521" s="38"/>
    </row>
    <row r="522" spans="1:8" ht="31.5" outlineLevel="5">
      <c r="A522" s="36" t="s">
        <v>776</v>
      </c>
      <c r="B522" s="37" t="s">
        <v>711</v>
      </c>
      <c r="C522" s="37" t="s">
        <v>159</v>
      </c>
      <c r="D522" s="37" t="s">
        <v>14</v>
      </c>
      <c r="E522" s="37" t="s">
        <v>227</v>
      </c>
      <c r="F522" s="37" t="s">
        <v>1</v>
      </c>
      <c r="G522" s="38">
        <f>G523+G525</f>
        <v>604914.9400000002</v>
      </c>
      <c r="H522" s="38"/>
    </row>
    <row r="523" spans="1:8" ht="31.5" outlineLevel="6">
      <c r="A523" s="36" t="s">
        <v>441</v>
      </c>
      <c r="B523" s="37" t="s">
        <v>711</v>
      </c>
      <c r="C523" s="37" t="s">
        <v>159</v>
      </c>
      <c r="D523" s="37" t="s">
        <v>14</v>
      </c>
      <c r="E523" s="37" t="s">
        <v>228</v>
      </c>
      <c r="F523" s="37" t="s">
        <v>1</v>
      </c>
      <c r="G523" s="38">
        <f>G524</f>
        <v>604914.9400000002</v>
      </c>
      <c r="H523" s="38"/>
    </row>
    <row r="524" spans="1:8" ht="31.5" outlineLevel="7">
      <c r="A524" s="36" t="s">
        <v>689</v>
      </c>
      <c r="B524" s="37" t="s">
        <v>711</v>
      </c>
      <c r="C524" s="37" t="s">
        <v>159</v>
      </c>
      <c r="D524" s="37" t="s">
        <v>14</v>
      </c>
      <c r="E524" s="37" t="s">
        <v>228</v>
      </c>
      <c r="F524" s="37" t="s">
        <v>17</v>
      </c>
      <c r="G524" s="38">
        <f>936558.43-270000-1170.7-21325.98-39146.81</f>
        <v>604914.9400000002</v>
      </c>
      <c r="H524" s="38"/>
    </row>
    <row r="525" spans="1:8" ht="47.25" hidden="1" outlineLevel="6">
      <c r="A525" s="36" t="s">
        <v>464</v>
      </c>
      <c r="B525" s="37" t="s">
        <v>711</v>
      </c>
      <c r="C525" s="37" t="s">
        <v>159</v>
      </c>
      <c r="D525" s="37" t="s">
        <v>14</v>
      </c>
      <c r="E525" s="37" t="s">
        <v>229</v>
      </c>
      <c r="F525" s="37" t="s">
        <v>1</v>
      </c>
      <c r="G525" s="38">
        <f>G526</f>
        <v>0</v>
      </c>
      <c r="H525" s="38"/>
    </row>
    <row r="526" spans="1:8" ht="47.25" hidden="1" outlineLevel="7">
      <c r="A526" s="36" t="s">
        <v>839</v>
      </c>
      <c r="B526" s="37" t="s">
        <v>711</v>
      </c>
      <c r="C526" s="37" t="s">
        <v>159</v>
      </c>
      <c r="D526" s="37" t="s">
        <v>14</v>
      </c>
      <c r="E526" s="37" t="s">
        <v>229</v>
      </c>
      <c r="F526" s="37" t="s">
        <v>143</v>
      </c>
      <c r="G526" s="38">
        <f>17779824-14779824-3000000</f>
        <v>0</v>
      </c>
      <c r="H526" s="38"/>
    </row>
    <row r="527" spans="1:8" ht="31.5" outlineLevel="7">
      <c r="A527" s="36" t="s">
        <v>901</v>
      </c>
      <c r="B527" s="37" t="s">
        <v>711</v>
      </c>
      <c r="C527" s="37" t="s">
        <v>159</v>
      </c>
      <c r="D527" s="37" t="s">
        <v>14</v>
      </c>
      <c r="E527" s="37" t="s">
        <v>902</v>
      </c>
      <c r="F527" s="37" t="s">
        <v>1</v>
      </c>
      <c r="G527" s="38">
        <f>G528+G530+G534+G532</f>
        <v>12034805.69</v>
      </c>
      <c r="H527" s="38">
        <f>H528+H530+H534</f>
        <v>9588870</v>
      </c>
    </row>
    <row r="528" spans="1:8" ht="31.5" outlineLevel="7">
      <c r="A528" s="36" t="s">
        <v>456</v>
      </c>
      <c r="B528" s="37" t="s">
        <v>711</v>
      </c>
      <c r="C528" s="37" t="s">
        <v>159</v>
      </c>
      <c r="D528" s="37" t="s">
        <v>14</v>
      </c>
      <c r="E528" s="37" t="s">
        <v>903</v>
      </c>
      <c r="F528" s="37" t="s">
        <v>1</v>
      </c>
      <c r="G528" s="38">
        <f>G529</f>
        <v>510635.69</v>
      </c>
      <c r="H528" s="38"/>
    </row>
    <row r="529" spans="1:8" ht="31.5" outlineLevel="7">
      <c r="A529" s="36" t="s">
        <v>689</v>
      </c>
      <c r="B529" s="37" t="s">
        <v>711</v>
      </c>
      <c r="C529" s="37" t="s">
        <v>159</v>
      </c>
      <c r="D529" s="37" t="s">
        <v>14</v>
      </c>
      <c r="E529" s="37" t="s">
        <v>903</v>
      </c>
      <c r="F529" s="37" t="s">
        <v>17</v>
      </c>
      <c r="G529" s="38">
        <f>510635.69</f>
        <v>510635.69</v>
      </c>
      <c r="H529" s="38"/>
    </row>
    <row r="530" spans="1:8" ht="31.5" outlineLevel="7">
      <c r="A530" s="36" t="s">
        <v>441</v>
      </c>
      <c r="B530" s="37" t="s">
        <v>711</v>
      </c>
      <c r="C530" s="37" t="s">
        <v>159</v>
      </c>
      <c r="D530" s="37" t="s">
        <v>14</v>
      </c>
      <c r="E530" s="37" t="s">
        <v>904</v>
      </c>
      <c r="F530" s="37" t="s">
        <v>1</v>
      </c>
      <c r="G530" s="38">
        <f>G531</f>
        <v>635300</v>
      </c>
      <c r="H530" s="38"/>
    </row>
    <row r="531" spans="1:8" ht="31.5" outlineLevel="7">
      <c r="A531" s="36" t="s">
        <v>689</v>
      </c>
      <c r="B531" s="37" t="s">
        <v>711</v>
      </c>
      <c r="C531" s="37" t="s">
        <v>159</v>
      </c>
      <c r="D531" s="37" t="s">
        <v>14</v>
      </c>
      <c r="E531" s="37" t="s">
        <v>904</v>
      </c>
      <c r="F531" s="37" t="s">
        <v>17</v>
      </c>
      <c r="G531" s="38">
        <f>1935300-1300000</f>
        <v>635300</v>
      </c>
      <c r="H531" s="38"/>
    </row>
    <row r="532" spans="1:8" ht="47.25" outlineLevel="7">
      <c r="A532" s="36" t="s">
        <v>914</v>
      </c>
      <c r="B532" s="37" t="s">
        <v>711</v>
      </c>
      <c r="C532" s="37" t="s">
        <v>159</v>
      </c>
      <c r="D532" s="37" t="s">
        <v>14</v>
      </c>
      <c r="E532" s="37" t="s">
        <v>928</v>
      </c>
      <c r="F532" s="37" t="s">
        <v>1</v>
      </c>
      <c r="G532" s="38">
        <f>G533</f>
        <v>1300000</v>
      </c>
      <c r="H532" s="38"/>
    </row>
    <row r="533" spans="1:8" ht="31.5" outlineLevel="7">
      <c r="A533" s="36" t="s">
        <v>689</v>
      </c>
      <c r="B533" s="37" t="s">
        <v>711</v>
      </c>
      <c r="C533" s="37" t="s">
        <v>159</v>
      </c>
      <c r="D533" s="37" t="s">
        <v>14</v>
      </c>
      <c r="E533" s="37" t="s">
        <v>928</v>
      </c>
      <c r="F533" s="37" t="s">
        <v>17</v>
      </c>
      <c r="G533" s="38">
        <f>1300000</f>
        <v>1300000</v>
      </c>
      <c r="H533" s="38"/>
    </row>
    <row r="534" spans="1:8" ht="47.25" outlineLevel="7">
      <c r="A534" s="36" t="s">
        <v>914</v>
      </c>
      <c r="B534" s="37" t="s">
        <v>711</v>
      </c>
      <c r="C534" s="37" t="s">
        <v>159</v>
      </c>
      <c r="D534" s="37" t="s">
        <v>14</v>
      </c>
      <c r="E534" s="37" t="s">
        <v>915</v>
      </c>
      <c r="F534" s="37" t="s">
        <v>1</v>
      </c>
      <c r="G534" s="38">
        <f>G535</f>
        <v>9588870</v>
      </c>
      <c r="H534" s="38">
        <f>H535</f>
        <v>9588870</v>
      </c>
    </row>
    <row r="535" spans="1:8" ht="31.5" outlineLevel="7">
      <c r="A535" s="36" t="s">
        <v>689</v>
      </c>
      <c r="B535" s="37" t="s">
        <v>711</v>
      </c>
      <c r="C535" s="37" t="s">
        <v>159</v>
      </c>
      <c r="D535" s="37" t="s">
        <v>14</v>
      </c>
      <c r="E535" s="37" t="s">
        <v>915</v>
      </c>
      <c r="F535" s="37" t="s">
        <v>17</v>
      </c>
      <c r="G535" s="38">
        <f>9588870</f>
        <v>9588870</v>
      </c>
      <c r="H535" s="38">
        <f>G535</f>
        <v>9588870</v>
      </c>
    </row>
    <row r="536" spans="1:8" ht="31.5" outlineLevel="5">
      <c r="A536" s="36" t="s">
        <v>777</v>
      </c>
      <c r="B536" s="37" t="s">
        <v>711</v>
      </c>
      <c r="C536" s="37" t="s">
        <v>159</v>
      </c>
      <c r="D536" s="37" t="s">
        <v>14</v>
      </c>
      <c r="E536" s="37" t="s">
        <v>230</v>
      </c>
      <c r="F536" s="37" t="s">
        <v>1</v>
      </c>
      <c r="G536" s="38">
        <f>G537</f>
        <v>3663773.16</v>
      </c>
      <c r="H536" s="38"/>
    </row>
    <row r="537" spans="1:8" ht="31.5" outlineLevel="6">
      <c r="A537" s="36" t="s">
        <v>441</v>
      </c>
      <c r="B537" s="37" t="s">
        <v>711</v>
      </c>
      <c r="C537" s="37" t="s">
        <v>159</v>
      </c>
      <c r="D537" s="37" t="s">
        <v>14</v>
      </c>
      <c r="E537" s="37" t="s">
        <v>231</v>
      </c>
      <c r="F537" s="37" t="s">
        <v>1</v>
      </c>
      <c r="G537" s="38">
        <f>G538</f>
        <v>3663773.16</v>
      </c>
      <c r="H537" s="38"/>
    </row>
    <row r="538" spans="1:8" ht="31.5" outlineLevel="7">
      <c r="A538" s="36" t="s">
        <v>689</v>
      </c>
      <c r="B538" s="37" t="s">
        <v>711</v>
      </c>
      <c r="C538" s="37" t="s">
        <v>159</v>
      </c>
      <c r="D538" s="37" t="s">
        <v>14</v>
      </c>
      <c r="E538" s="37" t="s">
        <v>231</v>
      </c>
      <c r="F538" s="37" t="s">
        <v>17</v>
      </c>
      <c r="G538" s="38">
        <f>4002811.57-2914.34-182295.23-143828.84-10000</f>
        <v>3663773.16</v>
      </c>
      <c r="H538" s="38"/>
    </row>
    <row r="539" spans="1:8" ht="47.25" outlineLevel="5">
      <c r="A539" s="36" t="s">
        <v>778</v>
      </c>
      <c r="B539" s="37" t="s">
        <v>711</v>
      </c>
      <c r="C539" s="37" t="s">
        <v>159</v>
      </c>
      <c r="D539" s="37" t="s">
        <v>14</v>
      </c>
      <c r="E539" s="37" t="s">
        <v>232</v>
      </c>
      <c r="F539" s="37" t="s">
        <v>1</v>
      </c>
      <c r="G539" s="38">
        <f>G540</f>
        <v>1561835.59</v>
      </c>
      <c r="H539" s="38"/>
    </row>
    <row r="540" spans="1:8" ht="31.5" outlineLevel="6">
      <c r="A540" s="36" t="s">
        <v>441</v>
      </c>
      <c r="B540" s="37" t="s">
        <v>711</v>
      </c>
      <c r="C540" s="37" t="s">
        <v>159</v>
      </c>
      <c r="D540" s="37" t="s">
        <v>14</v>
      </c>
      <c r="E540" s="37" t="s">
        <v>233</v>
      </c>
      <c r="F540" s="37" t="s">
        <v>1</v>
      </c>
      <c r="G540" s="38">
        <f>G541</f>
        <v>1561835.59</v>
      </c>
      <c r="H540" s="38"/>
    </row>
    <row r="541" spans="1:8" ht="31.5" outlineLevel="7">
      <c r="A541" s="36" t="s">
        <v>689</v>
      </c>
      <c r="B541" s="37" t="s">
        <v>711</v>
      </c>
      <c r="C541" s="37" t="s">
        <v>159</v>
      </c>
      <c r="D541" s="37" t="s">
        <v>14</v>
      </c>
      <c r="E541" s="37" t="s">
        <v>233</v>
      </c>
      <c r="F541" s="37" t="s">
        <v>17</v>
      </c>
      <c r="G541" s="38">
        <f>1190564+371271.59</f>
        <v>1561835.59</v>
      </c>
      <c r="H541" s="38"/>
    </row>
    <row r="542" spans="1:8" ht="31.5" outlineLevel="7">
      <c r="A542" s="36" t="s">
        <v>905</v>
      </c>
      <c r="B542" s="37" t="s">
        <v>711</v>
      </c>
      <c r="C542" s="37" t="s">
        <v>159</v>
      </c>
      <c r="D542" s="37" t="s">
        <v>14</v>
      </c>
      <c r="E542" s="37" t="s">
        <v>906</v>
      </c>
      <c r="F542" s="37" t="s">
        <v>1</v>
      </c>
      <c r="G542" s="38">
        <f>G543</f>
        <v>721981.83</v>
      </c>
      <c r="H542" s="38"/>
    </row>
    <row r="543" spans="1:8" ht="31.5" outlineLevel="7">
      <c r="A543" s="36" t="s">
        <v>441</v>
      </c>
      <c r="B543" s="37" t="s">
        <v>711</v>
      </c>
      <c r="C543" s="37" t="s">
        <v>159</v>
      </c>
      <c r="D543" s="37" t="s">
        <v>14</v>
      </c>
      <c r="E543" s="37" t="s">
        <v>907</v>
      </c>
      <c r="F543" s="37" t="s">
        <v>1</v>
      </c>
      <c r="G543" s="38">
        <f>G544</f>
        <v>721981.83</v>
      </c>
      <c r="H543" s="38"/>
    </row>
    <row r="544" spans="1:8" ht="31.5" outlineLevel="7">
      <c r="A544" s="36" t="s">
        <v>689</v>
      </c>
      <c r="B544" s="37" t="s">
        <v>711</v>
      </c>
      <c r="C544" s="37" t="s">
        <v>159</v>
      </c>
      <c r="D544" s="37" t="s">
        <v>14</v>
      </c>
      <c r="E544" s="37" t="s">
        <v>907</v>
      </c>
      <c r="F544" s="37" t="s">
        <v>17</v>
      </c>
      <c r="G544" s="38">
        <f>182295.23+539686.6</f>
        <v>721981.83</v>
      </c>
      <c r="H544" s="38"/>
    </row>
    <row r="545" spans="1:9" s="35" customFormat="1" ht="31.5" outlineLevel="2">
      <c r="A545" s="32" t="s">
        <v>675</v>
      </c>
      <c r="B545" s="33" t="s">
        <v>711</v>
      </c>
      <c r="C545" s="33" t="s">
        <v>159</v>
      </c>
      <c r="D545" s="33" t="s">
        <v>159</v>
      </c>
      <c r="E545" s="33" t="s">
        <v>4</v>
      </c>
      <c r="F545" s="33" t="s">
        <v>1</v>
      </c>
      <c r="G545" s="34">
        <f>G546+G556+G561</f>
        <v>2076056.3</v>
      </c>
      <c r="H545" s="34"/>
      <c r="I545" s="106"/>
    </row>
    <row r="546" spans="1:9" s="35" customFormat="1" ht="78.75" outlineLevel="3">
      <c r="A546" s="32" t="s">
        <v>656</v>
      </c>
      <c r="B546" s="33" t="s">
        <v>711</v>
      </c>
      <c r="C546" s="33" t="s">
        <v>159</v>
      </c>
      <c r="D546" s="33" t="s">
        <v>159</v>
      </c>
      <c r="E546" s="33" t="s">
        <v>160</v>
      </c>
      <c r="F546" s="33" t="s">
        <v>1</v>
      </c>
      <c r="G546" s="34">
        <f>G547</f>
        <v>1435663.78</v>
      </c>
      <c r="H546" s="34"/>
      <c r="I546" s="106"/>
    </row>
    <row r="547" spans="1:9" s="35" customFormat="1" ht="47.25" outlineLevel="4">
      <c r="A547" s="32" t="s">
        <v>635</v>
      </c>
      <c r="B547" s="33" t="s">
        <v>711</v>
      </c>
      <c r="C547" s="33" t="s">
        <v>159</v>
      </c>
      <c r="D547" s="33" t="s">
        <v>159</v>
      </c>
      <c r="E547" s="33" t="s">
        <v>234</v>
      </c>
      <c r="F547" s="33" t="s">
        <v>1</v>
      </c>
      <c r="G547" s="34">
        <f>G548</f>
        <v>1435663.78</v>
      </c>
      <c r="H547" s="34"/>
      <c r="I547" s="106"/>
    </row>
    <row r="548" spans="1:8" ht="31.5" outlineLevel="5">
      <c r="A548" s="36" t="s">
        <v>779</v>
      </c>
      <c r="B548" s="37" t="s">
        <v>711</v>
      </c>
      <c r="C548" s="37" t="s">
        <v>159</v>
      </c>
      <c r="D548" s="37" t="s">
        <v>159</v>
      </c>
      <c r="E548" s="37" t="s">
        <v>235</v>
      </c>
      <c r="F548" s="37" t="s">
        <v>1</v>
      </c>
      <c r="G548" s="38">
        <f>G549+G554</f>
        <v>1435663.78</v>
      </c>
      <c r="H548" s="38"/>
    </row>
    <row r="549" spans="1:8" ht="78.75" outlineLevel="6">
      <c r="A549" s="36" t="s">
        <v>443</v>
      </c>
      <c r="B549" s="37" t="s">
        <v>711</v>
      </c>
      <c r="C549" s="37" t="s">
        <v>159</v>
      </c>
      <c r="D549" s="37" t="s">
        <v>159</v>
      </c>
      <c r="E549" s="37" t="s">
        <v>236</v>
      </c>
      <c r="F549" s="37" t="s">
        <v>1</v>
      </c>
      <c r="G549" s="38">
        <f>G550+G551+G552+G553</f>
        <v>1435663.78</v>
      </c>
      <c r="H549" s="38"/>
    </row>
    <row r="550" spans="1:8" ht="94.5" outlineLevel="7">
      <c r="A550" s="36" t="s">
        <v>704</v>
      </c>
      <c r="B550" s="37" t="s">
        <v>711</v>
      </c>
      <c r="C550" s="37" t="s">
        <v>159</v>
      </c>
      <c r="D550" s="37" t="s">
        <v>159</v>
      </c>
      <c r="E550" s="37" t="s">
        <v>236</v>
      </c>
      <c r="F550" s="37" t="s">
        <v>10</v>
      </c>
      <c r="G550" s="38">
        <f>1029104.53+250349.4+74055.88</f>
        <v>1353509.81</v>
      </c>
      <c r="H550" s="38"/>
    </row>
    <row r="551" spans="1:8" ht="31.5" outlineLevel="7">
      <c r="A551" s="36" t="s">
        <v>689</v>
      </c>
      <c r="B551" s="37" t="s">
        <v>711</v>
      </c>
      <c r="C551" s="37" t="s">
        <v>159</v>
      </c>
      <c r="D551" s="37" t="s">
        <v>159</v>
      </c>
      <c r="E551" s="37" t="s">
        <v>236</v>
      </c>
      <c r="F551" s="37" t="s">
        <v>17</v>
      </c>
      <c r="G551" s="38">
        <f>2100+1131.83</f>
        <v>3231.83</v>
      </c>
      <c r="H551" s="38"/>
    </row>
    <row r="552" spans="1:8" ht="31.5" outlineLevel="7">
      <c r="A552" s="103" t="s">
        <v>690</v>
      </c>
      <c r="B552" s="104" t="s">
        <v>711</v>
      </c>
      <c r="C552" s="104" t="s">
        <v>159</v>
      </c>
      <c r="D552" s="104" t="s">
        <v>159</v>
      </c>
      <c r="E552" s="104" t="s">
        <v>236</v>
      </c>
      <c r="F552" s="104" t="s">
        <v>47</v>
      </c>
      <c r="G552" s="105">
        <f>78922.14</f>
        <v>78922.14</v>
      </c>
      <c r="H552" s="105"/>
    </row>
    <row r="553" spans="1:8" ht="15.75" hidden="1" outlineLevel="7">
      <c r="A553" s="36" t="s">
        <v>691</v>
      </c>
      <c r="B553" s="104" t="s">
        <v>711</v>
      </c>
      <c r="C553" s="104" t="s">
        <v>159</v>
      </c>
      <c r="D553" s="104" t="s">
        <v>159</v>
      </c>
      <c r="E553" s="104" t="s">
        <v>236</v>
      </c>
      <c r="F553" s="104" t="s">
        <v>65</v>
      </c>
      <c r="G553" s="105">
        <f>31078-31078</f>
        <v>0</v>
      </c>
      <c r="H553" s="105"/>
    </row>
    <row r="554" spans="1:8" ht="31.5" hidden="1" outlineLevel="6">
      <c r="A554" s="36" t="s">
        <v>441</v>
      </c>
      <c r="B554" s="37" t="s">
        <v>711</v>
      </c>
      <c r="C554" s="37" t="s">
        <v>159</v>
      </c>
      <c r="D554" s="37" t="s">
        <v>159</v>
      </c>
      <c r="E554" s="37" t="s">
        <v>237</v>
      </c>
      <c r="F554" s="37" t="s">
        <v>1</v>
      </c>
      <c r="G554" s="38">
        <f>G555</f>
        <v>0</v>
      </c>
      <c r="H554" s="38"/>
    </row>
    <row r="555" spans="1:8" ht="31.5" hidden="1" outlineLevel="7">
      <c r="A555" s="36" t="s">
        <v>689</v>
      </c>
      <c r="B555" s="37" t="s">
        <v>711</v>
      </c>
      <c r="C555" s="37" t="s">
        <v>159</v>
      </c>
      <c r="D555" s="37" t="s">
        <v>159</v>
      </c>
      <c r="E555" s="37" t="s">
        <v>237</v>
      </c>
      <c r="F555" s="37" t="s">
        <v>17</v>
      </c>
      <c r="G555" s="38">
        <f>425278.56+720205.63-1145484.19</f>
        <v>0</v>
      </c>
      <c r="H555" s="38"/>
    </row>
    <row r="556" spans="1:9" s="35" customFormat="1" ht="47.25" outlineLevel="3" collapsed="1">
      <c r="A556" s="32" t="s">
        <v>655</v>
      </c>
      <c r="B556" s="33" t="s">
        <v>711</v>
      </c>
      <c r="C556" s="33" t="s">
        <v>159</v>
      </c>
      <c r="D556" s="33" t="s">
        <v>159</v>
      </c>
      <c r="E556" s="33" t="s">
        <v>90</v>
      </c>
      <c r="F556" s="33" t="s">
        <v>1</v>
      </c>
      <c r="G556" s="34">
        <f>G557</f>
        <v>11400</v>
      </c>
      <c r="H556" s="34"/>
      <c r="I556" s="106"/>
    </row>
    <row r="557" spans="1:9" s="35" customFormat="1" ht="47.25" outlineLevel="4">
      <c r="A557" s="32" t="s">
        <v>620</v>
      </c>
      <c r="B557" s="33" t="s">
        <v>711</v>
      </c>
      <c r="C557" s="33" t="s">
        <v>159</v>
      </c>
      <c r="D557" s="33" t="s">
        <v>159</v>
      </c>
      <c r="E557" s="33" t="s">
        <v>91</v>
      </c>
      <c r="F557" s="33" t="s">
        <v>1</v>
      </c>
      <c r="G557" s="34">
        <f>G558</f>
        <v>11400</v>
      </c>
      <c r="H557" s="34"/>
      <c r="I557" s="106"/>
    </row>
    <row r="558" spans="1:8" ht="31.5" outlineLevel="5">
      <c r="A558" s="36" t="s">
        <v>734</v>
      </c>
      <c r="B558" s="37" t="s">
        <v>711</v>
      </c>
      <c r="C558" s="37" t="s">
        <v>159</v>
      </c>
      <c r="D558" s="37" t="s">
        <v>159</v>
      </c>
      <c r="E558" s="37" t="s">
        <v>100</v>
      </c>
      <c r="F558" s="37" t="s">
        <v>1</v>
      </c>
      <c r="G558" s="38">
        <f>G559</f>
        <v>11400</v>
      </c>
      <c r="H558" s="38"/>
    </row>
    <row r="559" spans="1:8" ht="31.5" outlineLevel="6">
      <c r="A559" s="36" t="s">
        <v>441</v>
      </c>
      <c r="B559" s="37" t="s">
        <v>711</v>
      </c>
      <c r="C559" s="37" t="s">
        <v>159</v>
      </c>
      <c r="D559" s="37" t="s">
        <v>159</v>
      </c>
      <c r="E559" s="37" t="s">
        <v>101</v>
      </c>
      <c r="F559" s="37" t="s">
        <v>1</v>
      </c>
      <c r="G559" s="38">
        <f>G560</f>
        <v>11400</v>
      </c>
      <c r="H559" s="38"/>
    </row>
    <row r="560" spans="1:8" ht="31.5" outlineLevel="7">
      <c r="A560" s="36" t="s">
        <v>689</v>
      </c>
      <c r="B560" s="37" t="s">
        <v>711</v>
      </c>
      <c r="C560" s="37" t="s">
        <v>159</v>
      </c>
      <c r="D560" s="37" t="s">
        <v>159</v>
      </c>
      <c r="E560" s="37" t="s">
        <v>101</v>
      </c>
      <c r="F560" s="37" t="s">
        <v>17</v>
      </c>
      <c r="G560" s="38">
        <v>11400</v>
      </c>
      <c r="H560" s="38"/>
    </row>
    <row r="561" spans="1:9" s="35" customFormat="1" ht="15.75" outlineLevel="3">
      <c r="A561" s="32" t="s">
        <v>490</v>
      </c>
      <c r="B561" s="33" t="s">
        <v>711</v>
      </c>
      <c r="C561" s="33" t="s">
        <v>159</v>
      </c>
      <c r="D561" s="33" t="s">
        <v>159</v>
      </c>
      <c r="E561" s="33" t="s">
        <v>11</v>
      </c>
      <c r="F561" s="33" t="s">
        <v>1</v>
      </c>
      <c r="G561" s="34">
        <f>G562</f>
        <v>628992.52</v>
      </c>
      <c r="H561" s="34"/>
      <c r="I561" s="106"/>
    </row>
    <row r="562" spans="1:8" ht="78.75" outlineLevel="6">
      <c r="A562" s="36" t="s">
        <v>443</v>
      </c>
      <c r="B562" s="37" t="s">
        <v>711</v>
      </c>
      <c r="C562" s="37" t="s">
        <v>159</v>
      </c>
      <c r="D562" s="37" t="s">
        <v>159</v>
      </c>
      <c r="E562" s="37" t="s">
        <v>238</v>
      </c>
      <c r="F562" s="37" t="s">
        <v>1</v>
      </c>
      <c r="G562" s="38">
        <f>G563</f>
        <v>628992.52</v>
      </c>
      <c r="H562" s="38"/>
    </row>
    <row r="563" spans="1:8" ht="47.25" outlineLevel="7">
      <c r="A563" s="36" t="s">
        <v>692</v>
      </c>
      <c r="B563" s="37" t="s">
        <v>711</v>
      </c>
      <c r="C563" s="37" t="s">
        <v>159</v>
      </c>
      <c r="D563" s="37" t="s">
        <v>159</v>
      </c>
      <c r="E563" s="37" t="s">
        <v>238</v>
      </c>
      <c r="F563" s="37" t="s">
        <v>70</v>
      </c>
      <c r="G563" s="38">
        <f>2114816.52-1485824</f>
        <v>628992.52</v>
      </c>
      <c r="H563" s="38"/>
    </row>
    <row r="564" spans="1:8" ht="15.75" outlineLevel="7">
      <c r="A564" s="32" t="s">
        <v>933</v>
      </c>
      <c r="B564" s="33" t="s">
        <v>711</v>
      </c>
      <c r="C564" s="33" t="s">
        <v>60</v>
      </c>
      <c r="D564" s="33" t="s">
        <v>3</v>
      </c>
      <c r="E564" s="33" t="s">
        <v>4</v>
      </c>
      <c r="F564" s="33" t="s">
        <v>1</v>
      </c>
      <c r="G564" s="34">
        <f>G565</f>
        <v>199885.74</v>
      </c>
      <c r="H564" s="34"/>
    </row>
    <row r="565" spans="1:8" ht="31.5" outlineLevel="7">
      <c r="A565" s="32" t="s">
        <v>934</v>
      </c>
      <c r="B565" s="33" t="s">
        <v>711</v>
      </c>
      <c r="C565" s="33" t="s">
        <v>60</v>
      </c>
      <c r="D565" s="33" t="s">
        <v>14</v>
      </c>
      <c r="E565" s="33" t="s">
        <v>4</v>
      </c>
      <c r="F565" s="33" t="s">
        <v>1</v>
      </c>
      <c r="G565" s="34">
        <f>G566</f>
        <v>199885.74</v>
      </c>
      <c r="H565" s="34"/>
    </row>
    <row r="566" spans="1:8" ht="47.25" outlineLevel="7">
      <c r="A566" s="32" t="s">
        <v>936</v>
      </c>
      <c r="B566" s="33" t="s">
        <v>711</v>
      </c>
      <c r="C566" s="33" t="s">
        <v>60</v>
      </c>
      <c r="D566" s="33" t="s">
        <v>14</v>
      </c>
      <c r="E566" s="33" t="s">
        <v>937</v>
      </c>
      <c r="F566" s="33" t="s">
        <v>1</v>
      </c>
      <c r="G566" s="34">
        <f>G567</f>
        <v>199885.74</v>
      </c>
      <c r="H566" s="34"/>
    </row>
    <row r="567" spans="1:8" ht="47.25" outlineLevel="7">
      <c r="A567" s="36" t="s">
        <v>935</v>
      </c>
      <c r="B567" s="37" t="s">
        <v>711</v>
      </c>
      <c r="C567" s="37" t="s">
        <v>60</v>
      </c>
      <c r="D567" s="37" t="s">
        <v>14</v>
      </c>
      <c r="E567" s="37" t="s">
        <v>938</v>
      </c>
      <c r="F567" s="37" t="s">
        <v>1</v>
      </c>
      <c r="G567" s="38">
        <f>G568</f>
        <v>199885.74</v>
      </c>
      <c r="H567" s="38"/>
    </row>
    <row r="568" spans="1:8" ht="31.5" outlineLevel="7">
      <c r="A568" s="36" t="s">
        <v>441</v>
      </c>
      <c r="B568" s="37" t="s">
        <v>711</v>
      </c>
      <c r="C568" s="37" t="s">
        <v>60</v>
      </c>
      <c r="D568" s="37" t="s">
        <v>14</v>
      </c>
      <c r="E568" s="37" t="s">
        <v>939</v>
      </c>
      <c r="F568" s="37" t="s">
        <v>1</v>
      </c>
      <c r="G568" s="38">
        <f>G569</f>
        <v>199885.74</v>
      </c>
      <c r="H568" s="38"/>
    </row>
    <row r="569" spans="1:8" ht="31.5" outlineLevel="7">
      <c r="A569" s="36" t="s">
        <v>689</v>
      </c>
      <c r="B569" s="37" t="s">
        <v>711</v>
      </c>
      <c r="C569" s="37" t="s">
        <v>60</v>
      </c>
      <c r="D569" s="37" t="s">
        <v>14</v>
      </c>
      <c r="E569" s="37" t="s">
        <v>939</v>
      </c>
      <c r="F569" s="37" t="s">
        <v>17</v>
      </c>
      <c r="G569" s="38">
        <f>199885.74</f>
        <v>199885.74</v>
      </c>
      <c r="H569" s="38"/>
    </row>
    <row r="570" spans="1:9" s="35" customFormat="1" ht="15.75" outlineLevel="1">
      <c r="A570" s="32" t="s">
        <v>696</v>
      </c>
      <c r="B570" s="33" t="s">
        <v>711</v>
      </c>
      <c r="C570" s="33" t="s">
        <v>239</v>
      </c>
      <c r="D570" s="33" t="s">
        <v>3</v>
      </c>
      <c r="E570" s="33" t="s">
        <v>4</v>
      </c>
      <c r="F570" s="33" t="s">
        <v>1</v>
      </c>
      <c r="G570" s="34">
        <f aca="true" t="shared" si="3" ref="G570:H575">G571</f>
        <v>1037413.73</v>
      </c>
      <c r="H570" s="34">
        <f t="shared" si="3"/>
        <v>774513.73</v>
      </c>
      <c r="I570" s="106"/>
    </row>
    <row r="571" spans="1:9" s="35" customFormat="1" ht="15.75" outlineLevel="2">
      <c r="A571" s="32" t="s">
        <v>676</v>
      </c>
      <c r="B571" s="33" t="s">
        <v>711</v>
      </c>
      <c r="C571" s="33" t="s">
        <v>239</v>
      </c>
      <c r="D571" s="33" t="s">
        <v>2</v>
      </c>
      <c r="E571" s="33" t="s">
        <v>4</v>
      </c>
      <c r="F571" s="33" t="s">
        <v>1</v>
      </c>
      <c r="G571" s="34">
        <f t="shared" si="3"/>
        <v>1037413.73</v>
      </c>
      <c r="H571" s="34">
        <f t="shared" si="3"/>
        <v>774513.73</v>
      </c>
      <c r="I571" s="106"/>
    </row>
    <row r="572" spans="1:9" s="35" customFormat="1" ht="47.25" outlineLevel="3">
      <c r="A572" s="32" t="s">
        <v>653</v>
      </c>
      <c r="B572" s="33" t="s">
        <v>711</v>
      </c>
      <c r="C572" s="33" t="s">
        <v>239</v>
      </c>
      <c r="D572" s="33" t="s">
        <v>2</v>
      </c>
      <c r="E572" s="33" t="s">
        <v>23</v>
      </c>
      <c r="F572" s="33" t="s">
        <v>1</v>
      </c>
      <c r="G572" s="34">
        <f t="shared" si="3"/>
        <v>1037413.73</v>
      </c>
      <c r="H572" s="34">
        <f t="shared" si="3"/>
        <v>774513.73</v>
      </c>
      <c r="I572" s="106"/>
    </row>
    <row r="573" spans="1:9" s="35" customFormat="1" ht="47.25" outlineLevel="4">
      <c r="A573" s="32" t="s">
        <v>637</v>
      </c>
      <c r="B573" s="33" t="s">
        <v>711</v>
      </c>
      <c r="C573" s="33" t="s">
        <v>239</v>
      </c>
      <c r="D573" s="33" t="s">
        <v>2</v>
      </c>
      <c r="E573" s="33" t="s">
        <v>249</v>
      </c>
      <c r="F573" s="33" t="s">
        <v>1</v>
      </c>
      <c r="G573" s="34">
        <f>G574+G577</f>
        <v>1037413.73</v>
      </c>
      <c r="H573" s="34">
        <f t="shared" si="3"/>
        <v>774513.73</v>
      </c>
      <c r="I573" s="106"/>
    </row>
    <row r="574" spans="1:8" ht="31.5" outlineLevel="5">
      <c r="A574" s="36" t="s">
        <v>846</v>
      </c>
      <c r="B574" s="37" t="s">
        <v>711</v>
      </c>
      <c r="C574" s="37" t="s">
        <v>239</v>
      </c>
      <c r="D574" s="37" t="s">
        <v>2</v>
      </c>
      <c r="E574" s="37" t="s">
        <v>250</v>
      </c>
      <c r="F574" s="37" t="s">
        <v>1</v>
      </c>
      <c r="G574" s="38">
        <f t="shared" si="3"/>
        <v>774513.73</v>
      </c>
      <c r="H574" s="38">
        <f t="shared" si="3"/>
        <v>774513.73</v>
      </c>
    </row>
    <row r="575" spans="1:8" ht="47.25" outlineLevel="6">
      <c r="A575" s="36" t="s">
        <v>467</v>
      </c>
      <c r="B575" s="37" t="s">
        <v>711</v>
      </c>
      <c r="C575" s="37" t="s">
        <v>239</v>
      </c>
      <c r="D575" s="37" t="s">
        <v>2</v>
      </c>
      <c r="E575" s="37" t="s">
        <v>251</v>
      </c>
      <c r="F575" s="37" t="s">
        <v>1</v>
      </c>
      <c r="G575" s="38">
        <f t="shared" si="3"/>
        <v>774513.73</v>
      </c>
      <c r="H575" s="38">
        <f t="shared" si="3"/>
        <v>774513.73</v>
      </c>
    </row>
    <row r="576" spans="1:8" ht="47.25" outlineLevel="7">
      <c r="A576" s="36" t="s">
        <v>839</v>
      </c>
      <c r="B576" s="37" t="s">
        <v>711</v>
      </c>
      <c r="C576" s="37" t="s">
        <v>239</v>
      </c>
      <c r="D576" s="37" t="s">
        <v>2</v>
      </c>
      <c r="E576" s="37" t="s">
        <v>251</v>
      </c>
      <c r="F576" s="37" t="s">
        <v>143</v>
      </c>
      <c r="G576" s="38">
        <v>774513.73</v>
      </c>
      <c r="H576" s="38">
        <f>G576</f>
        <v>774513.73</v>
      </c>
    </row>
    <row r="577" spans="1:8" ht="47.25" outlineLevel="7">
      <c r="A577" s="36" t="s">
        <v>585</v>
      </c>
      <c r="B577" s="37" t="s">
        <v>711</v>
      </c>
      <c r="C577" s="37" t="s">
        <v>239</v>
      </c>
      <c r="D577" s="37" t="s">
        <v>2</v>
      </c>
      <c r="E577" s="37" t="s">
        <v>415</v>
      </c>
      <c r="F577" s="37" t="s">
        <v>1</v>
      </c>
      <c r="G577" s="38">
        <f>G578</f>
        <v>262900</v>
      </c>
      <c r="H577" s="38"/>
    </row>
    <row r="578" spans="1:8" ht="31.5" outlineLevel="7">
      <c r="A578" s="36" t="s">
        <v>456</v>
      </c>
      <c r="B578" s="37" t="s">
        <v>711</v>
      </c>
      <c r="C578" s="37" t="s">
        <v>239</v>
      </c>
      <c r="D578" s="37" t="s">
        <v>2</v>
      </c>
      <c r="E578" s="37" t="s">
        <v>890</v>
      </c>
      <c r="F578" s="37" t="s">
        <v>1</v>
      </c>
      <c r="G578" s="38">
        <f>G579</f>
        <v>262900</v>
      </c>
      <c r="H578" s="38"/>
    </row>
    <row r="579" spans="1:8" ht="31.5" outlineLevel="7">
      <c r="A579" s="36" t="s">
        <v>689</v>
      </c>
      <c r="B579" s="37" t="s">
        <v>711</v>
      </c>
      <c r="C579" s="37" t="s">
        <v>239</v>
      </c>
      <c r="D579" s="37" t="s">
        <v>2</v>
      </c>
      <c r="E579" s="37" t="s">
        <v>890</v>
      </c>
      <c r="F579" s="37" t="s">
        <v>17</v>
      </c>
      <c r="G579" s="38">
        <f>262900</f>
        <v>262900</v>
      </c>
      <c r="H579" s="38"/>
    </row>
    <row r="580" spans="1:9" s="35" customFormat="1" ht="31.5">
      <c r="A580" s="32" t="s">
        <v>714</v>
      </c>
      <c r="B580" s="33" t="s">
        <v>713</v>
      </c>
      <c r="C580" s="33" t="s">
        <v>3</v>
      </c>
      <c r="D580" s="33" t="s">
        <v>3</v>
      </c>
      <c r="E580" s="33" t="s">
        <v>4</v>
      </c>
      <c r="F580" s="33" t="s">
        <v>1</v>
      </c>
      <c r="G580" s="34">
        <f>G581+G634</f>
        <v>29372895.689999998</v>
      </c>
      <c r="H580" s="34"/>
      <c r="I580" s="106"/>
    </row>
    <row r="581" spans="1:9" s="35" customFormat="1" ht="15.75" outlineLevel="1">
      <c r="A581" s="32" t="s">
        <v>688</v>
      </c>
      <c r="B581" s="33" t="s">
        <v>713</v>
      </c>
      <c r="C581" s="33" t="s">
        <v>2</v>
      </c>
      <c r="D581" s="33" t="s">
        <v>3</v>
      </c>
      <c r="E581" s="33" t="s">
        <v>4</v>
      </c>
      <c r="F581" s="33" t="s">
        <v>1</v>
      </c>
      <c r="G581" s="34">
        <f>G582+G605+G609</f>
        <v>17571248.7</v>
      </c>
      <c r="H581" s="34"/>
      <c r="I581" s="106"/>
    </row>
    <row r="582" spans="1:9" s="35" customFormat="1" ht="78.75" outlineLevel="2">
      <c r="A582" s="32" t="s">
        <v>661</v>
      </c>
      <c r="B582" s="33" t="s">
        <v>713</v>
      </c>
      <c r="C582" s="33" t="s">
        <v>2</v>
      </c>
      <c r="D582" s="33" t="s">
        <v>22</v>
      </c>
      <c r="E582" s="33" t="s">
        <v>4</v>
      </c>
      <c r="F582" s="33" t="s">
        <v>1</v>
      </c>
      <c r="G582" s="34">
        <f>G583+G593</f>
        <v>10785567</v>
      </c>
      <c r="H582" s="34"/>
      <c r="I582" s="106"/>
    </row>
    <row r="583" spans="1:9" s="35" customFormat="1" ht="78.75" outlineLevel="3">
      <c r="A583" s="32" t="s">
        <v>486</v>
      </c>
      <c r="B583" s="33" t="s">
        <v>713</v>
      </c>
      <c r="C583" s="33" t="s">
        <v>2</v>
      </c>
      <c r="D583" s="33" t="s">
        <v>22</v>
      </c>
      <c r="E583" s="33" t="s">
        <v>38</v>
      </c>
      <c r="F583" s="33" t="s">
        <v>1</v>
      </c>
      <c r="G583" s="34">
        <f>G584</f>
        <v>10680162</v>
      </c>
      <c r="H583" s="34"/>
      <c r="I583" s="106"/>
    </row>
    <row r="584" spans="1:9" s="35" customFormat="1" ht="31.5" outlineLevel="4">
      <c r="A584" s="32" t="s">
        <v>611</v>
      </c>
      <c r="B584" s="33" t="s">
        <v>713</v>
      </c>
      <c r="C584" s="33" t="s">
        <v>2</v>
      </c>
      <c r="D584" s="33" t="s">
        <v>22</v>
      </c>
      <c r="E584" s="33" t="s">
        <v>39</v>
      </c>
      <c r="F584" s="33" t="s">
        <v>1</v>
      </c>
      <c r="G584" s="34">
        <f>G585</f>
        <v>10680162</v>
      </c>
      <c r="H584" s="34"/>
      <c r="I584" s="106"/>
    </row>
    <row r="585" spans="1:8" ht="63" outlineLevel="5">
      <c r="A585" s="36" t="s">
        <v>780</v>
      </c>
      <c r="B585" s="37" t="s">
        <v>713</v>
      </c>
      <c r="C585" s="37" t="s">
        <v>2</v>
      </c>
      <c r="D585" s="37" t="s">
        <v>22</v>
      </c>
      <c r="E585" s="37" t="s">
        <v>40</v>
      </c>
      <c r="F585" s="37" t="s">
        <v>1</v>
      </c>
      <c r="G585" s="38">
        <f>G586+G591+G588</f>
        <v>10680162</v>
      </c>
      <c r="H585" s="38"/>
    </row>
    <row r="586" spans="1:8" ht="31.5" outlineLevel="6">
      <c r="A586" s="36" t="s">
        <v>434</v>
      </c>
      <c r="B586" s="37" t="s">
        <v>713</v>
      </c>
      <c r="C586" s="37" t="s">
        <v>2</v>
      </c>
      <c r="D586" s="37" t="s">
        <v>22</v>
      </c>
      <c r="E586" s="37" t="s">
        <v>41</v>
      </c>
      <c r="F586" s="37" t="s">
        <v>1</v>
      </c>
      <c r="G586" s="38">
        <f>G587</f>
        <v>10372616</v>
      </c>
      <c r="H586" s="38"/>
    </row>
    <row r="587" spans="1:8" ht="94.5" outlineLevel="7">
      <c r="A587" s="36" t="s">
        <v>704</v>
      </c>
      <c r="B587" s="37" t="s">
        <v>713</v>
      </c>
      <c r="C587" s="37" t="s">
        <v>2</v>
      </c>
      <c r="D587" s="37" t="s">
        <v>22</v>
      </c>
      <c r="E587" s="37" t="s">
        <v>41</v>
      </c>
      <c r="F587" s="37" t="s">
        <v>10</v>
      </c>
      <c r="G587" s="38">
        <f>10373316-700</f>
        <v>10372616</v>
      </c>
      <c r="H587" s="38"/>
    </row>
    <row r="588" spans="1:8" ht="42.75" customHeight="1" outlineLevel="7">
      <c r="A588" s="36" t="s">
        <v>430</v>
      </c>
      <c r="B588" s="37" t="s">
        <v>713</v>
      </c>
      <c r="C588" s="37" t="s">
        <v>2</v>
      </c>
      <c r="D588" s="37" t="s">
        <v>22</v>
      </c>
      <c r="E588" s="37" t="s">
        <v>891</v>
      </c>
      <c r="F588" s="37" t="s">
        <v>1</v>
      </c>
      <c r="G588" s="38">
        <f>G589+G590</f>
        <v>2700</v>
      </c>
      <c r="H588" s="38"/>
    </row>
    <row r="589" spans="1:8" ht="94.5" outlineLevel="7">
      <c r="A589" s="36" t="s">
        <v>704</v>
      </c>
      <c r="B589" s="37" t="s">
        <v>713</v>
      </c>
      <c r="C589" s="37" t="s">
        <v>2</v>
      </c>
      <c r="D589" s="37" t="s">
        <v>22</v>
      </c>
      <c r="E589" s="37" t="s">
        <v>891</v>
      </c>
      <c r="F589" s="37" t="s">
        <v>10</v>
      </c>
      <c r="G589" s="38">
        <f>700</f>
        <v>700</v>
      </c>
      <c r="H589" s="38"/>
    </row>
    <row r="590" spans="1:8" ht="31.5" outlineLevel="7">
      <c r="A590" s="36" t="s">
        <v>689</v>
      </c>
      <c r="B590" s="37" t="s">
        <v>713</v>
      </c>
      <c r="C590" s="37" t="s">
        <v>2</v>
      </c>
      <c r="D590" s="37" t="s">
        <v>22</v>
      </c>
      <c r="E590" s="37" t="s">
        <v>891</v>
      </c>
      <c r="F590" s="37" t="s">
        <v>17</v>
      </c>
      <c r="G590" s="38">
        <f>2000</f>
        <v>2000</v>
      </c>
      <c r="H590" s="38"/>
    </row>
    <row r="591" spans="1:8" ht="78.75" outlineLevel="6">
      <c r="A591" s="36" t="s">
        <v>432</v>
      </c>
      <c r="B591" s="37" t="s">
        <v>713</v>
      </c>
      <c r="C591" s="37" t="s">
        <v>2</v>
      </c>
      <c r="D591" s="37" t="s">
        <v>22</v>
      </c>
      <c r="E591" s="37" t="s">
        <v>42</v>
      </c>
      <c r="F591" s="37" t="s">
        <v>1</v>
      </c>
      <c r="G591" s="38">
        <f>G592</f>
        <v>304846</v>
      </c>
      <c r="H591" s="38"/>
    </row>
    <row r="592" spans="1:8" ht="94.5" outlineLevel="7">
      <c r="A592" s="36" t="s">
        <v>704</v>
      </c>
      <c r="B592" s="37" t="s">
        <v>713</v>
      </c>
      <c r="C592" s="37" t="s">
        <v>2</v>
      </c>
      <c r="D592" s="37" t="s">
        <v>22</v>
      </c>
      <c r="E592" s="37" t="s">
        <v>42</v>
      </c>
      <c r="F592" s="37" t="s">
        <v>10</v>
      </c>
      <c r="G592" s="38">
        <f>369846-2000-63000</f>
        <v>304846</v>
      </c>
      <c r="H592" s="38"/>
    </row>
    <row r="593" spans="1:9" s="35" customFormat="1" ht="63" outlineLevel="3">
      <c r="A593" s="32" t="s">
        <v>652</v>
      </c>
      <c r="B593" s="33" t="s">
        <v>713</v>
      </c>
      <c r="C593" s="33" t="s">
        <v>2</v>
      </c>
      <c r="D593" s="33" t="s">
        <v>22</v>
      </c>
      <c r="E593" s="33" t="s">
        <v>6</v>
      </c>
      <c r="F593" s="33" t="s">
        <v>1</v>
      </c>
      <c r="G593" s="34">
        <f>G594</f>
        <v>105405</v>
      </c>
      <c r="H593" s="34"/>
      <c r="I593" s="106"/>
    </row>
    <row r="594" spans="1:9" s="35" customFormat="1" ht="31.5" outlineLevel="4">
      <c r="A594" s="32" t="s">
        <v>609</v>
      </c>
      <c r="B594" s="33" t="s">
        <v>713</v>
      </c>
      <c r="C594" s="33" t="s">
        <v>2</v>
      </c>
      <c r="D594" s="33" t="s">
        <v>22</v>
      </c>
      <c r="E594" s="33" t="s">
        <v>7</v>
      </c>
      <c r="F594" s="33" t="s">
        <v>1</v>
      </c>
      <c r="G594" s="34">
        <f>G595+G599+G602</f>
        <v>105405</v>
      </c>
      <c r="H594" s="34"/>
      <c r="I594" s="106"/>
    </row>
    <row r="595" spans="1:8" ht="63" outlineLevel="5">
      <c r="A595" s="36" t="s">
        <v>723</v>
      </c>
      <c r="B595" s="37" t="s">
        <v>713</v>
      </c>
      <c r="C595" s="37" t="s">
        <v>2</v>
      </c>
      <c r="D595" s="37" t="s">
        <v>22</v>
      </c>
      <c r="E595" s="37" t="s">
        <v>15</v>
      </c>
      <c r="F595" s="37" t="s">
        <v>1</v>
      </c>
      <c r="G595" s="38">
        <f>G596</f>
        <v>43210</v>
      </c>
      <c r="H595" s="38"/>
    </row>
    <row r="596" spans="1:8" ht="31.5" outlineLevel="6">
      <c r="A596" s="36" t="s">
        <v>430</v>
      </c>
      <c r="B596" s="37" t="s">
        <v>713</v>
      </c>
      <c r="C596" s="37" t="s">
        <v>2</v>
      </c>
      <c r="D596" s="37" t="s">
        <v>22</v>
      </c>
      <c r="E596" s="37" t="s">
        <v>16</v>
      </c>
      <c r="F596" s="37" t="s">
        <v>1</v>
      </c>
      <c r="G596" s="38">
        <f>G597+G598</f>
        <v>43210</v>
      </c>
      <c r="H596" s="38"/>
    </row>
    <row r="597" spans="1:8" ht="94.5" outlineLevel="7">
      <c r="A597" s="36" t="s">
        <v>704</v>
      </c>
      <c r="B597" s="37" t="s">
        <v>713</v>
      </c>
      <c r="C597" s="37" t="s">
        <v>2</v>
      </c>
      <c r="D597" s="37" t="s">
        <v>22</v>
      </c>
      <c r="E597" s="37" t="s">
        <v>16</v>
      </c>
      <c r="F597" s="37" t="s">
        <v>10</v>
      </c>
      <c r="G597" s="38">
        <f>10000-7540</f>
        <v>2460</v>
      </c>
      <c r="H597" s="38"/>
    </row>
    <row r="598" spans="1:8" ht="31.5" outlineLevel="7">
      <c r="A598" s="36" t="s">
        <v>689</v>
      </c>
      <c r="B598" s="37" t="s">
        <v>713</v>
      </c>
      <c r="C598" s="37" t="s">
        <v>2</v>
      </c>
      <c r="D598" s="37" t="s">
        <v>22</v>
      </c>
      <c r="E598" s="37" t="s">
        <v>16</v>
      </c>
      <c r="F598" s="37" t="s">
        <v>17</v>
      </c>
      <c r="G598" s="38">
        <f>85750-45000</f>
        <v>40750</v>
      </c>
      <c r="H598" s="38"/>
    </row>
    <row r="599" spans="1:8" ht="15.75" outlineLevel="5">
      <c r="A599" s="36" t="s">
        <v>724</v>
      </c>
      <c r="B599" s="37" t="s">
        <v>713</v>
      </c>
      <c r="C599" s="37" t="s">
        <v>2</v>
      </c>
      <c r="D599" s="37" t="s">
        <v>22</v>
      </c>
      <c r="E599" s="37" t="s">
        <v>18</v>
      </c>
      <c r="F599" s="37" t="s">
        <v>1</v>
      </c>
      <c r="G599" s="38">
        <f>G600</f>
        <v>42695</v>
      </c>
      <c r="H599" s="38"/>
    </row>
    <row r="600" spans="1:8" ht="31.5" outlineLevel="6">
      <c r="A600" s="36" t="s">
        <v>430</v>
      </c>
      <c r="B600" s="37" t="s">
        <v>713</v>
      </c>
      <c r="C600" s="37" t="s">
        <v>2</v>
      </c>
      <c r="D600" s="37" t="s">
        <v>22</v>
      </c>
      <c r="E600" s="37" t="s">
        <v>19</v>
      </c>
      <c r="F600" s="37" t="s">
        <v>1</v>
      </c>
      <c r="G600" s="38">
        <f>G601</f>
        <v>42695</v>
      </c>
      <c r="H600" s="38"/>
    </row>
    <row r="601" spans="1:8" ht="31.5" outlineLevel="7">
      <c r="A601" s="36" t="s">
        <v>689</v>
      </c>
      <c r="B601" s="37" t="s">
        <v>713</v>
      </c>
      <c r="C601" s="37" t="s">
        <v>2</v>
      </c>
      <c r="D601" s="37" t="s">
        <v>22</v>
      </c>
      <c r="E601" s="37" t="s">
        <v>19</v>
      </c>
      <c r="F601" s="37" t="s">
        <v>17</v>
      </c>
      <c r="G601" s="38">
        <v>42695</v>
      </c>
      <c r="H601" s="38"/>
    </row>
    <row r="602" spans="1:8" ht="47.25" outlineLevel="5">
      <c r="A602" s="36" t="s">
        <v>722</v>
      </c>
      <c r="B602" s="37" t="s">
        <v>713</v>
      </c>
      <c r="C602" s="37" t="s">
        <v>2</v>
      </c>
      <c r="D602" s="37" t="s">
        <v>22</v>
      </c>
      <c r="E602" s="37" t="s">
        <v>8</v>
      </c>
      <c r="F602" s="37" t="s">
        <v>1</v>
      </c>
      <c r="G602" s="38">
        <f>G603</f>
        <v>19500</v>
      </c>
      <c r="H602" s="38"/>
    </row>
    <row r="603" spans="1:8" ht="31.5" outlineLevel="6">
      <c r="A603" s="36" t="s">
        <v>430</v>
      </c>
      <c r="B603" s="37" t="s">
        <v>713</v>
      </c>
      <c r="C603" s="37" t="s">
        <v>2</v>
      </c>
      <c r="D603" s="37" t="s">
        <v>22</v>
      </c>
      <c r="E603" s="37" t="s">
        <v>9</v>
      </c>
      <c r="F603" s="37" t="s">
        <v>1</v>
      </c>
      <c r="G603" s="38">
        <f>G604</f>
        <v>19500</v>
      </c>
      <c r="H603" s="38"/>
    </row>
    <row r="604" spans="1:8" ht="94.5" outlineLevel="7">
      <c r="A604" s="36" t="s">
        <v>704</v>
      </c>
      <c r="B604" s="37" t="s">
        <v>713</v>
      </c>
      <c r="C604" s="37" t="s">
        <v>2</v>
      </c>
      <c r="D604" s="37" t="s">
        <v>22</v>
      </c>
      <c r="E604" s="37" t="s">
        <v>9</v>
      </c>
      <c r="F604" s="37" t="s">
        <v>10</v>
      </c>
      <c r="G604" s="38">
        <f>48500-29000</f>
        <v>19500</v>
      </c>
      <c r="H604" s="38"/>
    </row>
    <row r="605" spans="1:9" s="35" customFormat="1" ht="15.75" outlineLevel="2">
      <c r="A605" s="32" t="s">
        <v>663</v>
      </c>
      <c r="B605" s="33" t="s">
        <v>713</v>
      </c>
      <c r="C605" s="33" t="s">
        <v>2</v>
      </c>
      <c r="D605" s="33" t="s">
        <v>63</v>
      </c>
      <c r="E605" s="33" t="s">
        <v>4</v>
      </c>
      <c r="F605" s="33" t="s">
        <v>1</v>
      </c>
      <c r="G605" s="34">
        <f>G607</f>
        <v>513310</v>
      </c>
      <c r="H605" s="34"/>
      <c r="I605" s="106"/>
    </row>
    <row r="606" spans="1:9" s="35" customFormat="1" ht="15.75" outlineLevel="3">
      <c r="A606" s="32" t="s">
        <v>490</v>
      </c>
      <c r="B606" s="33" t="s">
        <v>713</v>
      </c>
      <c r="C606" s="33" t="s">
        <v>2</v>
      </c>
      <c r="D606" s="33" t="s">
        <v>63</v>
      </c>
      <c r="E606" s="33" t="s">
        <v>11</v>
      </c>
      <c r="F606" s="33" t="s">
        <v>1</v>
      </c>
      <c r="G606" s="34">
        <f>G607</f>
        <v>513310</v>
      </c>
      <c r="H606" s="34"/>
      <c r="I606" s="106"/>
    </row>
    <row r="607" spans="1:8" ht="31.5" outlineLevel="6">
      <c r="A607" s="36" t="s">
        <v>438</v>
      </c>
      <c r="B607" s="37" t="s">
        <v>713</v>
      </c>
      <c r="C607" s="37" t="s">
        <v>2</v>
      </c>
      <c r="D607" s="37" t="s">
        <v>63</v>
      </c>
      <c r="E607" s="37" t="s">
        <v>64</v>
      </c>
      <c r="F607" s="37" t="s">
        <v>1</v>
      </c>
      <c r="G607" s="38">
        <f>G608</f>
        <v>513310</v>
      </c>
      <c r="H607" s="38"/>
    </row>
    <row r="608" spans="1:8" ht="15.75" outlineLevel="7">
      <c r="A608" s="36" t="s">
        <v>691</v>
      </c>
      <c r="B608" s="37" t="s">
        <v>713</v>
      </c>
      <c r="C608" s="37" t="s">
        <v>2</v>
      </c>
      <c r="D608" s="37" t="s">
        <v>63</v>
      </c>
      <c r="E608" s="37" t="s">
        <v>64</v>
      </c>
      <c r="F608" s="37" t="s">
        <v>65</v>
      </c>
      <c r="G608" s="38">
        <f>1606000-900000-163600-29090</f>
        <v>513310</v>
      </c>
      <c r="H608" s="38"/>
    </row>
    <row r="609" spans="1:9" s="35" customFormat="1" ht="15.75" outlineLevel="2">
      <c r="A609" s="32" t="s">
        <v>664</v>
      </c>
      <c r="B609" s="33" t="s">
        <v>713</v>
      </c>
      <c r="C609" s="33" t="s">
        <v>2</v>
      </c>
      <c r="D609" s="33" t="s">
        <v>66</v>
      </c>
      <c r="E609" s="33" t="s">
        <v>4</v>
      </c>
      <c r="F609" s="33" t="s">
        <v>1</v>
      </c>
      <c r="G609" s="34">
        <f>G610+G625+G630+G618</f>
        <v>6272371.7</v>
      </c>
      <c r="H609" s="34"/>
      <c r="I609" s="106"/>
    </row>
    <row r="610" spans="1:9" s="35" customFormat="1" ht="47.25" outlineLevel="3">
      <c r="A610" s="32" t="s">
        <v>655</v>
      </c>
      <c r="B610" s="33" t="s">
        <v>713</v>
      </c>
      <c r="C610" s="33" t="s">
        <v>2</v>
      </c>
      <c r="D610" s="33" t="s">
        <v>66</v>
      </c>
      <c r="E610" s="33" t="s">
        <v>90</v>
      </c>
      <c r="F610" s="33" t="s">
        <v>1</v>
      </c>
      <c r="G610" s="34">
        <f>G611</f>
        <v>924888.39</v>
      </c>
      <c r="H610" s="34"/>
      <c r="I610" s="106"/>
    </row>
    <row r="611" spans="1:9" s="35" customFormat="1" ht="47.25" outlineLevel="4">
      <c r="A611" s="32" t="s">
        <v>620</v>
      </c>
      <c r="B611" s="33" t="s">
        <v>713</v>
      </c>
      <c r="C611" s="33" t="s">
        <v>2</v>
      </c>
      <c r="D611" s="33" t="s">
        <v>66</v>
      </c>
      <c r="E611" s="33" t="s">
        <v>91</v>
      </c>
      <c r="F611" s="33" t="s">
        <v>1</v>
      </c>
      <c r="G611" s="34">
        <f>G612+G615</f>
        <v>924888.39</v>
      </c>
      <c r="H611" s="34"/>
      <c r="I611" s="106"/>
    </row>
    <row r="612" spans="1:8" ht="47.25" outlineLevel="5">
      <c r="A612" s="36" t="s">
        <v>726</v>
      </c>
      <c r="B612" s="37" t="s">
        <v>713</v>
      </c>
      <c r="C612" s="37" t="s">
        <v>2</v>
      </c>
      <c r="D612" s="37" t="s">
        <v>66</v>
      </c>
      <c r="E612" s="37" t="s">
        <v>94</v>
      </c>
      <c r="F612" s="37" t="s">
        <v>1</v>
      </c>
      <c r="G612" s="38">
        <f>G613</f>
        <v>458428.39</v>
      </c>
      <c r="H612" s="38"/>
    </row>
    <row r="613" spans="1:8" ht="31.5" outlineLevel="6">
      <c r="A613" s="36" t="s">
        <v>441</v>
      </c>
      <c r="B613" s="37" t="s">
        <v>713</v>
      </c>
      <c r="C613" s="37" t="s">
        <v>2</v>
      </c>
      <c r="D613" s="37" t="s">
        <v>66</v>
      </c>
      <c r="E613" s="37" t="s">
        <v>95</v>
      </c>
      <c r="F613" s="37" t="s">
        <v>1</v>
      </c>
      <c r="G613" s="38">
        <f>G614</f>
        <v>458428.39</v>
      </c>
      <c r="H613" s="38"/>
    </row>
    <row r="614" spans="1:8" ht="31.5" outlineLevel="7">
      <c r="A614" s="36" t="s">
        <v>689</v>
      </c>
      <c r="B614" s="37" t="s">
        <v>713</v>
      </c>
      <c r="C614" s="37" t="s">
        <v>2</v>
      </c>
      <c r="D614" s="37" t="s">
        <v>66</v>
      </c>
      <c r="E614" s="37" t="s">
        <v>95</v>
      </c>
      <c r="F614" s="37" t="s">
        <v>17</v>
      </c>
      <c r="G614" s="38">
        <f>793428.39-335000</f>
        <v>458428.39</v>
      </c>
      <c r="H614" s="38"/>
    </row>
    <row r="615" spans="1:8" ht="31.5" outlineLevel="7">
      <c r="A615" s="36" t="s">
        <v>510</v>
      </c>
      <c r="B615" s="37" t="s">
        <v>713</v>
      </c>
      <c r="C615" s="37" t="s">
        <v>2</v>
      </c>
      <c r="D615" s="37" t="s">
        <v>66</v>
      </c>
      <c r="E615" s="37" t="s">
        <v>100</v>
      </c>
      <c r="F615" s="37" t="s">
        <v>1</v>
      </c>
      <c r="G615" s="38">
        <f>G616</f>
        <v>466460</v>
      </c>
      <c r="H615" s="38"/>
    </row>
    <row r="616" spans="1:8" ht="31.5" outlineLevel="7">
      <c r="A616" s="36" t="s">
        <v>441</v>
      </c>
      <c r="B616" s="37" t="s">
        <v>713</v>
      </c>
      <c r="C616" s="37" t="s">
        <v>2</v>
      </c>
      <c r="D616" s="37" t="s">
        <v>66</v>
      </c>
      <c r="E616" s="37" t="s">
        <v>101</v>
      </c>
      <c r="F616" s="37" t="s">
        <v>1</v>
      </c>
      <c r="G616" s="38">
        <f>G617</f>
        <v>466460</v>
      </c>
      <c r="H616" s="38"/>
    </row>
    <row r="617" spans="1:8" ht="31.5" outlineLevel="7">
      <c r="A617" s="36" t="s">
        <v>689</v>
      </c>
      <c r="B617" s="37" t="s">
        <v>713</v>
      </c>
      <c r="C617" s="37" t="s">
        <v>2</v>
      </c>
      <c r="D617" s="37" t="s">
        <v>66</v>
      </c>
      <c r="E617" s="37" t="s">
        <v>101</v>
      </c>
      <c r="F617" s="37" t="s">
        <v>17</v>
      </c>
      <c r="G617" s="38">
        <f>466460</f>
        <v>466460</v>
      </c>
      <c r="H617" s="38"/>
    </row>
    <row r="618" spans="1:8" ht="78.75" outlineLevel="7">
      <c r="A618" s="32" t="s">
        <v>486</v>
      </c>
      <c r="B618" s="33" t="s">
        <v>713</v>
      </c>
      <c r="C618" s="33" t="s">
        <v>2</v>
      </c>
      <c r="D618" s="33" t="s">
        <v>66</v>
      </c>
      <c r="E618" s="33" t="s">
        <v>38</v>
      </c>
      <c r="F618" s="33" t="s">
        <v>1</v>
      </c>
      <c r="G618" s="34">
        <f>G619</f>
        <v>425056.14</v>
      </c>
      <c r="H618" s="34"/>
    </row>
    <row r="619" spans="1:8" ht="78.75" outlineLevel="7">
      <c r="A619" s="32" t="s">
        <v>949</v>
      </c>
      <c r="B619" s="33" t="s">
        <v>713</v>
      </c>
      <c r="C619" s="33" t="s">
        <v>2</v>
      </c>
      <c r="D619" s="33" t="s">
        <v>66</v>
      </c>
      <c r="E619" s="33" t="s">
        <v>950</v>
      </c>
      <c r="F619" s="33" t="s">
        <v>1</v>
      </c>
      <c r="G619" s="34">
        <f>G620</f>
        <v>425056.14</v>
      </c>
      <c r="H619" s="34"/>
    </row>
    <row r="620" spans="1:8" ht="94.5" outlineLevel="7">
      <c r="A620" s="36" t="s">
        <v>951</v>
      </c>
      <c r="B620" s="37" t="s">
        <v>713</v>
      </c>
      <c r="C620" s="37" t="s">
        <v>2</v>
      </c>
      <c r="D620" s="37" t="s">
        <v>66</v>
      </c>
      <c r="E620" s="37" t="s">
        <v>952</v>
      </c>
      <c r="F620" s="37" t="s">
        <v>1</v>
      </c>
      <c r="G620" s="38">
        <f>G621</f>
        <v>425056.14</v>
      </c>
      <c r="H620" s="38"/>
    </row>
    <row r="621" spans="1:8" ht="78.75" outlineLevel="7">
      <c r="A621" s="36" t="s">
        <v>443</v>
      </c>
      <c r="B621" s="37" t="s">
        <v>713</v>
      </c>
      <c r="C621" s="37" t="s">
        <v>2</v>
      </c>
      <c r="D621" s="37" t="s">
        <v>66</v>
      </c>
      <c r="E621" s="37" t="s">
        <v>953</v>
      </c>
      <c r="F621" s="37" t="s">
        <v>1</v>
      </c>
      <c r="G621" s="38">
        <f>G622+G623+G624</f>
        <v>425056.14</v>
      </c>
      <c r="H621" s="38"/>
    </row>
    <row r="622" spans="1:8" ht="94.5" outlineLevel="7">
      <c r="A622" s="36" t="s">
        <v>704</v>
      </c>
      <c r="B622" s="37" t="s">
        <v>713</v>
      </c>
      <c r="C622" s="37" t="s">
        <v>2</v>
      </c>
      <c r="D622" s="37" t="s">
        <v>66</v>
      </c>
      <c r="E622" s="37" t="s">
        <v>953</v>
      </c>
      <c r="F622" s="37" t="s">
        <v>10</v>
      </c>
      <c r="G622" s="38">
        <f>201169.85+60753.29</f>
        <v>261923.14</v>
      </c>
      <c r="H622" s="38"/>
    </row>
    <row r="623" spans="1:8" ht="31.5" outlineLevel="7">
      <c r="A623" s="36" t="s">
        <v>689</v>
      </c>
      <c r="B623" s="37" t="s">
        <v>713</v>
      </c>
      <c r="C623" s="37" t="s">
        <v>2</v>
      </c>
      <c r="D623" s="37" t="s">
        <v>66</v>
      </c>
      <c r="E623" s="37" t="s">
        <v>953</v>
      </c>
      <c r="F623" s="37" t="s">
        <v>17</v>
      </c>
      <c r="G623" s="38">
        <f>163133+466460-4000-466460</f>
        <v>159133</v>
      </c>
      <c r="H623" s="38"/>
    </row>
    <row r="624" spans="1:8" ht="15.75" outlineLevel="7">
      <c r="A624" s="36" t="s">
        <v>691</v>
      </c>
      <c r="B624" s="37" t="s">
        <v>713</v>
      </c>
      <c r="C624" s="37" t="s">
        <v>2</v>
      </c>
      <c r="D624" s="37" t="s">
        <v>66</v>
      </c>
      <c r="E624" s="37" t="s">
        <v>953</v>
      </c>
      <c r="F624" s="37" t="s">
        <v>65</v>
      </c>
      <c r="G624" s="38">
        <f>4000</f>
        <v>4000</v>
      </c>
      <c r="H624" s="38"/>
    </row>
    <row r="625" spans="1:9" s="35" customFormat="1" ht="63" outlineLevel="3">
      <c r="A625" s="32" t="s">
        <v>652</v>
      </c>
      <c r="B625" s="33" t="s">
        <v>713</v>
      </c>
      <c r="C625" s="33" t="s">
        <v>2</v>
      </c>
      <c r="D625" s="33" t="s">
        <v>66</v>
      </c>
      <c r="E625" s="33" t="s">
        <v>6</v>
      </c>
      <c r="F625" s="33" t="s">
        <v>1</v>
      </c>
      <c r="G625" s="34">
        <f>G626</f>
        <v>162000</v>
      </c>
      <c r="H625" s="34"/>
      <c r="I625" s="106"/>
    </row>
    <row r="626" spans="1:9" s="35" customFormat="1" ht="47.25" outlineLevel="4">
      <c r="A626" s="32" t="s">
        <v>624</v>
      </c>
      <c r="B626" s="33" t="s">
        <v>713</v>
      </c>
      <c r="C626" s="33" t="s">
        <v>2</v>
      </c>
      <c r="D626" s="33" t="s">
        <v>66</v>
      </c>
      <c r="E626" s="33" t="s">
        <v>131</v>
      </c>
      <c r="F626" s="33" t="s">
        <v>1</v>
      </c>
      <c r="G626" s="34">
        <f>G627</f>
        <v>162000</v>
      </c>
      <c r="H626" s="34"/>
      <c r="I626" s="106"/>
    </row>
    <row r="627" spans="1:8" ht="31.5" outlineLevel="5">
      <c r="A627" s="36" t="s">
        <v>727</v>
      </c>
      <c r="B627" s="37" t="s">
        <v>713</v>
      </c>
      <c r="C627" s="37" t="s">
        <v>2</v>
      </c>
      <c r="D627" s="37" t="s">
        <v>66</v>
      </c>
      <c r="E627" s="37" t="s">
        <v>138</v>
      </c>
      <c r="F627" s="37" t="s">
        <v>1</v>
      </c>
      <c r="G627" s="38">
        <f>G628</f>
        <v>162000</v>
      </c>
      <c r="H627" s="38"/>
    </row>
    <row r="628" spans="1:8" ht="31.5" outlineLevel="6">
      <c r="A628" s="36" t="s">
        <v>441</v>
      </c>
      <c r="B628" s="37" t="s">
        <v>713</v>
      </c>
      <c r="C628" s="37" t="s">
        <v>2</v>
      </c>
      <c r="D628" s="37" t="s">
        <v>66</v>
      </c>
      <c r="E628" s="37" t="s">
        <v>140</v>
      </c>
      <c r="F628" s="37" t="s">
        <v>1</v>
      </c>
      <c r="G628" s="38">
        <f>G629</f>
        <v>162000</v>
      </c>
      <c r="H628" s="38"/>
    </row>
    <row r="629" spans="1:8" ht="31.5" outlineLevel="7">
      <c r="A629" s="36" t="s">
        <v>689</v>
      </c>
      <c r="B629" s="37" t="s">
        <v>713</v>
      </c>
      <c r="C629" s="37" t="s">
        <v>2</v>
      </c>
      <c r="D629" s="37" t="s">
        <v>66</v>
      </c>
      <c r="E629" s="37" t="s">
        <v>140</v>
      </c>
      <c r="F629" s="37" t="s">
        <v>17</v>
      </c>
      <c r="G629" s="38">
        <v>162000</v>
      </c>
      <c r="H629" s="38"/>
    </row>
    <row r="630" spans="1:8" ht="15.75" outlineLevel="7">
      <c r="A630" s="97" t="s">
        <v>490</v>
      </c>
      <c r="B630" s="98" t="s">
        <v>713</v>
      </c>
      <c r="C630" s="98" t="s">
        <v>2</v>
      </c>
      <c r="D630" s="98" t="s">
        <v>66</v>
      </c>
      <c r="E630" s="98" t="s">
        <v>11</v>
      </c>
      <c r="F630" s="33" t="s">
        <v>1</v>
      </c>
      <c r="G630" s="99">
        <f>G631</f>
        <v>4760427.17</v>
      </c>
      <c r="H630" s="38"/>
    </row>
    <row r="631" spans="1:8" ht="31.5" outlineLevel="7">
      <c r="A631" s="100" t="s">
        <v>876</v>
      </c>
      <c r="B631" s="101" t="s">
        <v>713</v>
      </c>
      <c r="C631" s="101" t="s">
        <v>2</v>
      </c>
      <c r="D631" s="101" t="s">
        <v>66</v>
      </c>
      <c r="E631" s="101" t="s">
        <v>142</v>
      </c>
      <c r="F631" s="101" t="s">
        <v>1</v>
      </c>
      <c r="G631" s="102">
        <f>G633+G632</f>
        <v>4760427.17</v>
      </c>
      <c r="H631" s="38"/>
    </row>
    <row r="632" spans="1:8" ht="31.5" outlineLevel="7">
      <c r="A632" s="89" t="s">
        <v>689</v>
      </c>
      <c r="B632" s="90" t="s">
        <v>713</v>
      </c>
      <c r="C632" s="90" t="s">
        <v>2</v>
      </c>
      <c r="D632" s="90" t="s">
        <v>66</v>
      </c>
      <c r="E632" s="90" t="s">
        <v>142</v>
      </c>
      <c r="F632" s="91">
        <v>200</v>
      </c>
      <c r="G632" s="92">
        <f>1409786.41+119068.15+53438.47+84429.39</f>
        <v>1666722.4199999997</v>
      </c>
      <c r="H632" s="38"/>
    </row>
    <row r="633" spans="1:8" ht="15.75" outlineLevel="7">
      <c r="A633" s="93" t="s">
        <v>691</v>
      </c>
      <c r="B633" s="94" t="s">
        <v>713</v>
      </c>
      <c r="C633" s="94" t="s">
        <v>2</v>
      </c>
      <c r="D633" s="94" t="s">
        <v>66</v>
      </c>
      <c r="E633" s="94" t="s">
        <v>142</v>
      </c>
      <c r="F633" s="95">
        <v>800</v>
      </c>
      <c r="G633" s="96">
        <f>3065411.27+25851.48+2442</f>
        <v>3093704.75</v>
      </c>
      <c r="H633" s="38"/>
    </row>
    <row r="634" spans="1:9" s="35" customFormat="1" ht="31.5" outlineLevel="1">
      <c r="A634" s="32" t="s">
        <v>702</v>
      </c>
      <c r="B634" s="33" t="s">
        <v>713</v>
      </c>
      <c r="C634" s="33" t="s">
        <v>66</v>
      </c>
      <c r="D634" s="33" t="s">
        <v>3</v>
      </c>
      <c r="E634" s="33" t="s">
        <v>4</v>
      </c>
      <c r="F634" s="33" t="s">
        <v>1</v>
      </c>
      <c r="G634" s="34">
        <f aca="true" t="shared" si="4" ref="G634:G639">G635</f>
        <v>11801646.99</v>
      </c>
      <c r="H634" s="34"/>
      <c r="I634" s="106"/>
    </row>
    <row r="635" spans="1:9" s="35" customFormat="1" ht="31.5" outlineLevel="2">
      <c r="A635" s="32" t="s">
        <v>687</v>
      </c>
      <c r="B635" s="33" t="s">
        <v>713</v>
      </c>
      <c r="C635" s="33" t="s">
        <v>66</v>
      </c>
      <c r="D635" s="33" t="s">
        <v>2</v>
      </c>
      <c r="E635" s="33" t="s">
        <v>4</v>
      </c>
      <c r="F635" s="33" t="s">
        <v>1</v>
      </c>
      <c r="G635" s="34">
        <f t="shared" si="4"/>
        <v>11801646.99</v>
      </c>
      <c r="H635" s="34"/>
      <c r="I635" s="106"/>
    </row>
    <row r="636" spans="1:9" s="35" customFormat="1" ht="78.75" outlineLevel="3">
      <c r="A636" s="32" t="s">
        <v>486</v>
      </c>
      <c r="B636" s="33" t="s">
        <v>713</v>
      </c>
      <c r="C636" s="33" t="s">
        <v>66</v>
      </c>
      <c r="D636" s="33" t="s">
        <v>2</v>
      </c>
      <c r="E636" s="33" t="s">
        <v>38</v>
      </c>
      <c r="F636" s="33" t="s">
        <v>1</v>
      </c>
      <c r="G636" s="34">
        <f t="shared" si="4"/>
        <v>11801646.99</v>
      </c>
      <c r="H636" s="34"/>
      <c r="I636" s="106"/>
    </row>
    <row r="637" spans="1:9" s="35" customFormat="1" ht="31.5" outlineLevel="4">
      <c r="A637" s="32" t="s">
        <v>651</v>
      </c>
      <c r="B637" s="33" t="s">
        <v>713</v>
      </c>
      <c r="C637" s="33" t="s">
        <v>66</v>
      </c>
      <c r="D637" s="33" t="s">
        <v>2</v>
      </c>
      <c r="E637" s="33" t="s">
        <v>410</v>
      </c>
      <c r="F637" s="33" t="s">
        <v>1</v>
      </c>
      <c r="G637" s="34">
        <f t="shared" si="4"/>
        <v>11801646.99</v>
      </c>
      <c r="H637" s="34"/>
      <c r="I637" s="106"/>
    </row>
    <row r="638" spans="1:8" ht="47.25" outlineLevel="5">
      <c r="A638" s="36" t="s">
        <v>781</v>
      </c>
      <c r="B638" s="37" t="s">
        <v>713</v>
      </c>
      <c r="C638" s="37" t="s">
        <v>66</v>
      </c>
      <c r="D638" s="37" t="s">
        <v>2</v>
      </c>
      <c r="E638" s="37" t="s">
        <v>411</v>
      </c>
      <c r="F638" s="37" t="s">
        <v>1</v>
      </c>
      <c r="G638" s="38">
        <f t="shared" si="4"/>
        <v>11801646.99</v>
      </c>
      <c r="H638" s="38"/>
    </row>
    <row r="639" spans="1:8" ht="15.75" outlineLevel="6">
      <c r="A639" s="36" t="s">
        <v>429</v>
      </c>
      <c r="B639" s="37" t="s">
        <v>713</v>
      </c>
      <c r="C639" s="37" t="s">
        <v>66</v>
      </c>
      <c r="D639" s="37" t="s">
        <v>2</v>
      </c>
      <c r="E639" s="37" t="s">
        <v>412</v>
      </c>
      <c r="F639" s="37" t="s">
        <v>1</v>
      </c>
      <c r="G639" s="38">
        <f t="shared" si="4"/>
        <v>11801646.99</v>
      </c>
      <c r="H639" s="38"/>
    </row>
    <row r="640" spans="1:8" ht="31.5" outlineLevel="7">
      <c r="A640" s="36" t="s">
        <v>703</v>
      </c>
      <c r="B640" s="37" t="s">
        <v>713</v>
      </c>
      <c r="C640" s="37" t="s">
        <v>66</v>
      </c>
      <c r="D640" s="37" t="s">
        <v>2</v>
      </c>
      <c r="E640" s="37" t="s">
        <v>412</v>
      </c>
      <c r="F640" s="37" t="s">
        <v>413</v>
      </c>
      <c r="G640" s="38">
        <v>11801646.99</v>
      </c>
      <c r="H640" s="38"/>
    </row>
    <row r="641" spans="1:9" s="35" customFormat="1" ht="31.5">
      <c r="A641" s="32" t="s">
        <v>716</v>
      </c>
      <c r="B641" s="33" t="s">
        <v>715</v>
      </c>
      <c r="C641" s="33" t="s">
        <v>3</v>
      </c>
      <c r="D641" s="33" t="s">
        <v>3</v>
      </c>
      <c r="E641" s="33" t="s">
        <v>4</v>
      </c>
      <c r="F641" s="33" t="s">
        <v>1</v>
      </c>
      <c r="G641" s="34">
        <f>G642+G687+G858</f>
        <v>1407669105.83</v>
      </c>
      <c r="H641" s="34">
        <f>H687+H858</f>
        <v>773702911.92</v>
      </c>
      <c r="I641" s="106"/>
    </row>
    <row r="642" spans="1:9" s="35" customFormat="1" ht="15.75" outlineLevel="1">
      <c r="A642" s="32" t="s">
        <v>688</v>
      </c>
      <c r="B642" s="33" t="s">
        <v>715</v>
      </c>
      <c r="C642" s="33" t="s">
        <v>2</v>
      </c>
      <c r="D642" s="33" t="s">
        <v>3</v>
      </c>
      <c r="E642" s="33" t="s">
        <v>4</v>
      </c>
      <c r="F642" s="33" t="s">
        <v>1</v>
      </c>
      <c r="G642" s="34">
        <f>G643+G677</f>
        <v>17499398.95</v>
      </c>
      <c r="H642" s="34"/>
      <c r="I642" s="106"/>
    </row>
    <row r="643" spans="1:9" s="35" customFormat="1" ht="78.75" outlineLevel="2">
      <c r="A643" s="32" t="s">
        <v>661</v>
      </c>
      <c r="B643" s="33" t="s">
        <v>715</v>
      </c>
      <c r="C643" s="33" t="s">
        <v>2</v>
      </c>
      <c r="D643" s="33" t="s">
        <v>22</v>
      </c>
      <c r="E643" s="33" t="s">
        <v>4</v>
      </c>
      <c r="F643" s="33" t="s">
        <v>1</v>
      </c>
      <c r="G643" s="34">
        <f>G644+G668</f>
        <v>16641656.659999998</v>
      </c>
      <c r="H643" s="34"/>
      <c r="I643" s="106"/>
    </row>
    <row r="644" spans="1:9" s="35" customFormat="1" ht="47.25" outlineLevel="3">
      <c r="A644" s="32" t="s">
        <v>653</v>
      </c>
      <c r="B644" s="33" t="s">
        <v>715</v>
      </c>
      <c r="C644" s="33" t="s">
        <v>2</v>
      </c>
      <c r="D644" s="33" t="s">
        <v>22</v>
      </c>
      <c r="E644" s="33" t="s">
        <v>23</v>
      </c>
      <c r="F644" s="33" t="s">
        <v>1</v>
      </c>
      <c r="G644" s="34">
        <f>G645</f>
        <v>16476318.659999998</v>
      </c>
      <c r="H644" s="34"/>
      <c r="I644" s="106"/>
    </row>
    <row r="645" spans="1:9" s="35" customFormat="1" ht="47.25" outlineLevel="4">
      <c r="A645" s="32" t="s">
        <v>610</v>
      </c>
      <c r="B645" s="33" t="s">
        <v>715</v>
      </c>
      <c r="C645" s="33" t="s">
        <v>2</v>
      </c>
      <c r="D645" s="33" t="s">
        <v>22</v>
      </c>
      <c r="E645" s="33" t="s">
        <v>24</v>
      </c>
      <c r="F645" s="33" t="s">
        <v>1</v>
      </c>
      <c r="G645" s="34">
        <f>G646+G649+G654+G661</f>
        <v>16476318.659999998</v>
      </c>
      <c r="H645" s="34"/>
      <c r="I645" s="106"/>
    </row>
    <row r="646" spans="1:8" ht="141.75" outlineLevel="5">
      <c r="A646" s="36" t="s">
        <v>782</v>
      </c>
      <c r="B646" s="37" t="s">
        <v>715</v>
      </c>
      <c r="C646" s="37" t="s">
        <v>2</v>
      </c>
      <c r="D646" s="37" t="s">
        <v>22</v>
      </c>
      <c r="E646" s="37" t="s">
        <v>25</v>
      </c>
      <c r="F646" s="37" t="s">
        <v>1</v>
      </c>
      <c r="G646" s="38">
        <f>G647</f>
        <v>484246.3100000001</v>
      </c>
      <c r="H646" s="38"/>
    </row>
    <row r="647" spans="1:8" ht="31.5" outlineLevel="6">
      <c r="A647" s="36" t="s">
        <v>434</v>
      </c>
      <c r="B647" s="37" t="s">
        <v>715</v>
      </c>
      <c r="C647" s="37" t="s">
        <v>2</v>
      </c>
      <c r="D647" s="37" t="s">
        <v>22</v>
      </c>
      <c r="E647" s="37" t="s">
        <v>26</v>
      </c>
      <c r="F647" s="37" t="s">
        <v>1</v>
      </c>
      <c r="G647" s="38">
        <f>G648</f>
        <v>484246.3100000001</v>
      </c>
      <c r="H647" s="38"/>
    </row>
    <row r="648" spans="1:8" ht="94.5" outlineLevel="7">
      <c r="A648" s="36" t="s">
        <v>704</v>
      </c>
      <c r="B648" s="37" t="s">
        <v>715</v>
      </c>
      <c r="C648" s="37" t="s">
        <v>2</v>
      </c>
      <c r="D648" s="37" t="s">
        <v>22</v>
      </c>
      <c r="E648" s="37" t="s">
        <v>26</v>
      </c>
      <c r="F648" s="37" t="s">
        <v>10</v>
      </c>
      <c r="G648" s="38">
        <f>1373779.26-688724.44-206231.23+5200.38+222.34</f>
        <v>484246.3100000001</v>
      </c>
      <c r="H648" s="38"/>
    </row>
    <row r="649" spans="1:8" ht="78.75" outlineLevel="5">
      <c r="A649" s="36" t="s">
        <v>783</v>
      </c>
      <c r="B649" s="37" t="s">
        <v>715</v>
      </c>
      <c r="C649" s="37" t="s">
        <v>2</v>
      </c>
      <c r="D649" s="37" t="s">
        <v>22</v>
      </c>
      <c r="E649" s="37" t="s">
        <v>27</v>
      </c>
      <c r="F649" s="37" t="s">
        <v>1</v>
      </c>
      <c r="G649" s="38">
        <f>G650+G652</f>
        <v>2897595.5199999996</v>
      </c>
      <c r="H649" s="38"/>
    </row>
    <row r="650" spans="1:8" ht="31.5" outlineLevel="6">
      <c r="A650" s="36" t="s">
        <v>434</v>
      </c>
      <c r="B650" s="37" t="s">
        <v>715</v>
      </c>
      <c r="C650" s="37" t="s">
        <v>2</v>
      </c>
      <c r="D650" s="37" t="s">
        <v>22</v>
      </c>
      <c r="E650" s="37" t="s">
        <v>28</v>
      </c>
      <c r="F650" s="37" t="s">
        <v>1</v>
      </c>
      <c r="G650" s="38">
        <f>G651</f>
        <v>2869995.5199999996</v>
      </c>
      <c r="H650" s="38"/>
    </row>
    <row r="651" spans="1:8" ht="94.5" outlineLevel="7">
      <c r="A651" s="103" t="s">
        <v>704</v>
      </c>
      <c r="B651" s="104" t="s">
        <v>715</v>
      </c>
      <c r="C651" s="104" t="s">
        <v>2</v>
      </c>
      <c r="D651" s="104" t="s">
        <v>22</v>
      </c>
      <c r="E651" s="104" t="s">
        <v>28</v>
      </c>
      <c r="F651" s="104" t="s">
        <v>10</v>
      </c>
      <c r="G651" s="105">
        <f>2099094.82+597793.03+173107.67</f>
        <v>2869995.5199999996</v>
      </c>
      <c r="H651" s="105"/>
    </row>
    <row r="652" spans="1:8" ht="78.75" outlineLevel="6">
      <c r="A652" s="36" t="s">
        <v>432</v>
      </c>
      <c r="B652" s="37" t="s">
        <v>715</v>
      </c>
      <c r="C652" s="37" t="s">
        <v>2</v>
      </c>
      <c r="D652" s="37" t="s">
        <v>22</v>
      </c>
      <c r="E652" s="37" t="s">
        <v>29</v>
      </c>
      <c r="F652" s="37" t="s">
        <v>1</v>
      </c>
      <c r="G652" s="38">
        <f>G653</f>
        <v>27600</v>
      </c>
      <c r="H652" s="38"/>
    </row>
    <row r="653" spans="1:8" ht="94.5" outlineLevel="7">
      <c r="A653" s="36" t="s">
        <v>704</v>
      </c>
      <c r="B653" s="37" t="s">
        <v>715</v>
      </c>
      <c r="C653" s="37" t="s">
        <v>2</v>
      </c>
      <c r="D653" s="37" t="s">
        <v>22</v>
      </c>
      <c r="E653" s="37" t="s">
        <v>29</v>
      </c>
      <c r="F653" s="37" t="s">
        <v>10</v>
      </c>
      <c r="G653" s="38">
        <f>25000+2600</f>
        <v>27600</v>
      </c>
      <c r="H653" s="38"/>
    </row>
    <row r="654" spans="1:8" ht="126" outlineLevel="5">
      <c r="A654" s="36" t="s">
        <v>784</v>
      </c>
      <c r="B654" s="37" t="s">
        <v>715</v>
      </c>
      <c r="C654" s="37" t="s">
        <v>2</v>
      </c>
      <c r="D654" s="37" t="s">
        <v>22</v>
      </c>
      <c r="E654" s="37" t="s">
        <v>30</v>
      </c>
      <c r="F654" s="37" t="s">
        <v>1</v>
      </c>
      <c r="G654" s="38">
        <f>G655+G657+G659</f>
        <v>6074534.6</v>
      </c>
      <c r="H654" s="38"/>
    </row>
    <row r="655" spans="1:8" ht="31.5" outlineLevel="6">
      <c r="A655" s="36" t="s">
        <v>434</v>
      </c>
      <c r="B655" s="37" t="s">
        <v>715</v>
      </c>
      <c r="C655" s="37" t="s">
        <v>2</v>
      </c>
      <c r="D655" s="37" t="s">
        <v>22</v>
      </c>
      <c r="E655" s="37" t="s">
        <v>31</v>
      </c>
      <c r="F655" s="37" t="s">
        <v>1</v>
      </c>
      <c r="G655" s="38">
        <f>G656</f>
        <v>5934097.8</v>
      </c>
      <c r="H655" s="38"/>
    </row>
    <row r="656" spans="1:8" ht="94.5" outlineLevel="7">
      <c r="A656" s="36" t="s">
        <v>704</v>
      </c>
      <c r="B656" s="37" t="s">
        <v>715</v>
      </c>
      <c r="C656" s="37" t="s">
        <v>2</v>
      </c>
      <c r="D656" s="37" t="s">
        <v>22</v>
      </c>
      <c r="E656" s="37" t="s">
        <v>31</v>
      </c>
      <c r="F656" s="37" t="s">
        <v>10</v>
      </c>
      <c r="G656" s="38">
        <f>5841197.31+84089.46+15318.71-6507.68</f>
        <v>5934097.8</v>
      </c>
      <c r="H656" s="38"/>
    </row>
    <row r="657" spans="1:8" ht="31.5" outlineLevel="6">
      <c r="A657" s="36" t="s">
        <v>430</v>
      </c>
      <c r="B657" s="37" t="s">
        <v>715</v>
      </c>
      <c r="C657" s="37" t="s">
        <v>2</v>
      </c>
      <c r="D657" s="37" t="s">
        <v>22</v>
      </c>
      <c r="E657" s="37" t="s">
        <v>32</v>
      </c>
      <c r="F657" s="37" t="s">
        <v>1</v>
      </c>
      <c r="G657" s="38">
        <f>G658</f>
        <v>900</v>
      </c>
      <c r="H657" s="38"/>
    </row>
    <row r="658" spans="1:8" ht="94.5" outlineLevel="7">
      <c r="A658" s="36" t="s">
        <v>704</v>
      </c>
      <c r="B658" s="37" t="s">
        <v>715</v>
      </c>
      <c r="C658" s="37" t="s">
        <v>2</v>
      </c>
      <c r="D658" s="37" t="s">
        <v>22</v>
      </c>
      <c r="E658" s="37" t="s">
        <v>32</v>
      </c>
      <c r="F658" s="37" t="s">
        <v>10</v>
      </c>
      <c r="G658" s="38">
        <v>900</v>
      </c>
      <c r="H658" s="38"/>
    </row>
    <row r="659" spans="1:8" ht="78.75" outlineLevel="6">
      <c r="A659" s="36" t="s">
        <v>432</v>
      </c>
      <c r="B659" s="37" t="s">
        <v>715</v>
      </c>
      <c r="C659" s="37" t="s">
        <v>2</v>
      </c>
      <c r="D659" s="37" t="s">
        <v>22</v>
      </c>
      <c r="E659" s="37" t="s">
        <v>33</v>
      </c>
      <c r="F659" s="37" t="s">
        <v>1</v>
      </c>
      <c r="G659" s="38">
        <f>G660</f>
        <v>139536.8</v>
      </c>
      <c r="H659" s="38"/>
    </row>
    <row r="660" spans="1:8" ht="94.5" outlineLevel="7">
      <c r="A660" s="36" t="s">
        <v>704</v>
      </c>
      <c r="B660" s="37" t="s">
        <v>715</v>
      </c>
      <c r="C660" s="37" t="s">
        <v>2</v>
      </c>
      <c r="D660" s="37" t="s">
        <v>22</v>
      </c>
      <c r="E660" s="37" t="s">
        <v>33</v>
      </c>
      <c r="F660" s="37" t="s">
        <v>10</v>
      </c>
      <c r="G660" s="38">
        <f>60482+72547.12+6507.68</f>
        <v>139536.8</v>
      </c>
      <c r="H660" s="38"/>
    </row>
    <row r="661" spans="1:8" ht="157.5" outlineLevel="5">
      <c r="A661" s="36" t="s">
        <v>785</v>
      </c>
      <c r="B661" s="37" t="s">
        <v>715</v>
      </c>
      <c r="C661" s="37" t="s">
        <v>2</v>
      </c>
      <c r="D661" s="37" t="s">
        <v>22</v>
      </c>
      <c r="E661" s="37" t="s">
        <v>34</v>
      </c>
      <c r="F661" s="37" t="s">
        <v>1</v>
      </c>
      <c r="G661" s="38">
        <f>G662+G664+G666</f>
        <v>7019942.229999999</v>
      </c>
      <c r="H661" s="38"/>
    </row>
    <row r="662" spans="1:8" ht="31.5" outlineLevel="6">
      <c r="A662" s="36" t="s">
        <v>434</v>
      </c>
      <c r="B662" s="37" t="s">
        <v>715</v>
      </c>
      <c r="C662" s="37" t="s">
        <v>2</v>
      </c>
      <c r="D662" s="37" t="s">
        <v>22</v>
      </c>
      <c r="E662" s="37" t="s">
        <v>35</v>
      </c>
      <c r="F662" s="37" t="s">
        <v>1</v>
      </c>
      <c r="G662" s="38">
        <f>G663</f>
        <v>6884130.259999999</v>
      </c>
      <c r="H662" s="38"/>
    </row>
    <row r="663" spans="1:8" ht="94.5" outlineLevel="7">
      <c r="A663" s="36" t="s">
        <v>704</v>
      </c>
      <c r="B663" s="37" t="s">
        <v>715</v>
      </c>
      <c r="C663" s="37" t="s">
        <v>2</v>
      </c>
      <c r="D663" s="37" t="s">
        <v>22</v>
      </c>
      <c r="E663" s="37" t="s">
        <v>35</v>
      </c>
      <c r="F663" s="37" t="s">
        <v>10</v>
      </c>
      <c r="G663" s="38">
        <f>7012233.27-69200-20900.32-38002.69</f>
        <v>6884130.259999999</v>
      </c>
      <c r="H663" s="38"/>
    </row>
    <row r="664" spans="1:8" ht="31.5" outlineLevel="6">
      <c r="A664" s="36" t="s">
        <v>430</v>
      </c>
      <c r="B664" s="37" t="s">
        <v>715</v>
      </c>
      <c r="C664" s="37" t="s">
        <v>2</v>
      </c>
      <c r="D664" s="37" t="s">
        <v>22</v>
      </c>
      <c r="E664" s="37" t="s">
        <v>36</v>
      </c>
      <c r="F664" s="37" t="s">
        <v>1</v>
      </c>
      <c r="G664" s="38">
        <f>G665</f>
        <v>975</v>
      </c>
      <c r="H664" s="38"/>
    </row>
    <row r="665" spans="1:8" ht="94.5" outlineLevel="7">
      <c r="A665" s="36" t="s">
        <v>704</v>
      </c>
      <c r="B665" s="37" t="s">
        <v>715</v>
      </c>
      <c r="C665" s="37" t="s">
        <v>2</v>
      </c>
      <c r="D665" s="37" t="s">
        <v>22</v>
      </c>
      <c r="E665" s="37" t="s">
        <v>36</v>
      </c>
      <c r="F665" s="37" t="s">
        <v>10</v>
      </c>
      <c r="G665" s="38">
        <f>2250-1275</f>
        <v>975</v>
      </c>
      <c r="H665" s="38"/>
    </row>
    <row r="666" spans="1:8" ht="78.75" outlineLevel="6">
      <c r="A666" s="36" t="s">
        <v>432</v>
      </c>
      <c r="B666" s="37" t="s">
        <v>715</v>
      </c>
      <c r="C666" s="37" t="s">
        <v>2</v>
      </c>
      <c r="D666" s="37" t="s">
        <v>22</v>
      </c>
      <c r="E666" s="37" t="s">
        <v>37</v>
      </c>
      <c r="F666" s="37" t="s">
        <v>1</v>
      </c>
      <c r="G666" s="38">
        <f>G667</f>
        <v>134836.97</v>
      </c>
      <c r="H666" s="38"/>
    </row>
    <row r="667" spans="1:8" ht="94.5" outlineLevel="7">
      <c r="A667" s="36" t="s">
        <v>704</v>
      </c>
      <c r="B667" s="37" t="s">
        <v>715</v>
      </c>
      <c r="C667" s="37" t="s">
        <v>2</v>
      </c>
      <c r="D667" s="37" t="s">
        <v>22</v>
      </c>
      <c r="E667" s="37" t="s">
        <v>37</v>
      </c>
      <c r="F667" s="37" t="s">
        <v>10</v>
      </c>
      <c r="G667" s="38">
        <f>61382+39600+33854.97</f>
        <v>134836.97</v>
      </c>
      <c r="H667" s="38"/>
    </row>
    <row r="668" spans="1:9" s="35" customFormat="1" ht="63" outlineLevel="3">
      <c r="A668" s="32" t="s">
        <v>652</v>
      </c>
      <c r="B668" s="33" t="s">
        <v>715</v>
      </c>
      <c r="C668" s="33" t="s">
        <v>2</v>
      </c>
      <c r="D668" s="33" t="s">
        <v>22</v>
      </c>
      <c r="E668" s="33" t="s">
        <v>6</v>
      </c>
      <c r="F668" s="33" t="s">
        <v>1</v>
      </c>
      <c r="G668" s="34">
        <f>G669</f>
        <v>165338</v>
      </c>
      <c r="H668" s="34"/>
      <c r="I668" s="106"/>
    </row>
    <row r="669" spans="1:9" s="35" customFormat="1" ht="31.5" outlineLevel="4">
      <c r="A669" s="32" t="s">
        <v>609</v>
      </c>
      <c r="B669" s="33" t="s">
        <v>715</v>
      </c>
      <c r="C669" s="33" t="s">
        <v>2</v>
      </c>
      <c r="D669" s="33" t="s">
        <v>22</v>
      </c>
      <c r="E669" s="33" t="s">
        <v>7</v>
      </c>
      <c r="F669" s="33" t="s">
        <v>1</v>
      </c>
      <c r="G669" s="34">
        <f>G670+G674</f>
        <v>165338</v>
      </c>
      <c r="H669" s="34"/>
      <c r="I669" s="106"/>
    </row>
    <row r="670" spans="1:8" ht="63" outlineLevel="5">
      <c r="A670" s="36" t="s">
        <v>723</v>
      </c>
      <c r="B670" s="37" t="s">
        <v>715</v>
      </c>
      <c r="C670" s="37" t="s">
        <v>2</v>
      </c>
      <c r="D670" s="37" t="s">
        <v>22</v>
      </c>
      <c r="E670" s="37" t="s">
        <v>15</v>
      </c>
      <c r="F670" s="37" t="s">
        <v>1</v>
      </c>
      <c r="G670" s="38">
        <f>G671</f>
        <v>100845.08</v>
      </c>
      <c r="H670" s="38"/>
    </row>
    <row r="671" spans="1:8" ht="31.5" outlineLevel="6">
      <c r="A671" s="36" t="s">
        <v>430</v>
      </c>
      <c r="B671" s="37" t="s">
        <v>715</v>
      </c>
      <c r="C671" s="37" t="s">
        <v>2</v>
      </c>
      <c r="D671" s="37" t="s">
        <v>22</v>
      </c>
      <c r="E671" s="37" t="s">
        <v>16</v>
      </c>
      <c r="F671" s="37" t="s">
        <v>1</v>
      </c>
      <c r="G671" s="38">
        <f>G672+G673</f>
        <v>100845.08</v>
      </c>
      <c r="H671" s="38"/>
    </row>
    <row r="672" spans="1:8" ht="94.5" outlineLevel="7">
      <c r="A672" s="36" t="s">
        <v>704</v>
      </c>
      <c r="B672" s="37" t="s">
        <v>715</v>
      </c>
      <c r="C672" s="37" t="s">
        <v>2</v>
      </c>
      <c r="D672" s="37" t="s">
        <v>22</v>
      </c>
      <c r="E672" s="37" t="s">
        <v>16</v>
      </c>
      <c r="F672" s="37" t="s">
        <v>10</v>
      </c>
      <c r="G672" s="38">
        <v>63300</v>
      </c>
      <c r="H672" s="38"/>
    </row>
    <row r="673" spans="1:8" ht="31.5" outlineLevel="7">
      <c r="A673" s="36" t="s">
        <v>689</v>
      </c>
      <c r="B673" s="37" t="s">
        <v>715</v>
      </c>
      <c r="C673" s="37" t="s">
        <v>2</v>
      </c>
      <c r="D673" s="37" t="s">
        <v>22</v>
      </c>
      <c r="E673" s="37" t="s">
        <v>16</v>
      </c>
      <c r="F673" s="37" t="s">
        <v>17</v>
      </c>
      <c r="G673" s="38">
        <v>37545.08</v>
      </c>
      <c r="H673" s="38"/>
    </row>
    <row r="674" spans="1:8" ht="15.75" outlineLevel="5">
      <c r="A674" s="36" t="s">
        <v>724</v>
      </c>
      <c r="B674" s="37" t="s">
        <v>715</v>
      </c>
      <c r="C674" s="37" t="s">
        <v>2</v>
      </c>
      <c r="D674" s="37" t="s">
        <v>22</v>
      </c>
      <c r="E674" s="37" t="s">
        <v>18</v>
      </c>
      <c r="F674" s="37" t="s">
        <v>1</v>
      </c>
      <c r="G674" s="38">
        <f>G675</f>
        <v>64492.92</v>
      </c>
      <c r="H674" s="38"/>
    </row>
    <row r="675" spans="1:8" ht="31.5" outlineLevel="6">
      <c r="A675" s="36" t="s">
        <v>430</v>
      </c>
      <c r="B675" s="37" t="s">
        <v>715</v>
      </c>
      <c r="C675" s="37" t="s">
        <v>2</v>
      </c>
      <c r="D675" s="37" t="s">
        <v>22</v>
      </c>
      <c r="E675" s="37" t="s">
        <v>19</v>
      </c>
      <c r="F675" s="37" t="s">
        <v>1</v>
      </c>
      <c r="G675" s="38">
        <f>G676</f>
        <v>64492.92</v>
      </c>
      <c r="H675" s="38"/>
    </row>
    <row r="676" spans="1:8" ht="31.5" outlineLevel="7">
      <c r="A676" s="36" t="s">
        <v>689</v>
      </c>
      <c r="B676" s="37" t="s">
        <v>715</v>
      </c>
      <c r="C676" s="37" t="s">
        <v>2</v>
      </c>
      <c r="D676" s="37" t="s">
        <v>22</v>
      </c>
      <c r="E676" s="37" t="s">
        <v>19</v>
      </c>
      <c r="F676" s="37" t="s">
        <v>17</v>
      </c>
      <c r="G676" s="38">
        <v>64492.92</v>
      </c>
      <c r="H676" s="38"/>
    </row>
    <row r="677" spans="1:9" s="35" customFormat="1" ht="15.75" outlineLevel="2">
      <c r="A677" s="32" t="s">
        <v>664</v>
      </c>
      <c r="B677" s="33" t="s">
        <v>715</v>
      </c>
      <c r="C677" s="33" t="s">
        <v>2</v>
      </c>
      <c r="D677" s="33" t="s">
        <v>66</v>
      </c>
      <c r="E677" s="33" t="s">
        <v>4</v>
      </c>
      <c r="F677" s="33" t="s">
        <v>1</v>
      </c>
      <c r="G677" s="34">
        <f>G678+G683</f>
        <v>857742.29</v>
      </c>
      <c r="H677" s="34"/>
      <c r="I677" s="106"/>
    </row>
    <row r="678" spans="1:9" s="35" customFormat="1" ht="47.25" outlineLevel="3">
      <c r="A678" s="32" t="s">
        <v>655</v>
      </c>
      <c r="B678" s="33" t="s">
        <v>715</v>
      </c>
      <c r="C678" s="33" t="s">
        <v>2</v>
      </c>
      <c r="D678" s="33" t="s">
        <v>66</v>
      </c>
      <c r="E678" s="33" t="s">
        <v>90</v>
      </c>
      <c r="F678" s="33" t="s">
        <v>1</v>
      </c>
      <c r="G678" s="34">
        <f>G679</f>
        <v>837822.0700000001</v>
      </c>
      <c r="H678" s="34"/>
      <c r="I678" s="106"/>
    </row>
    <row r="679" spans="1:9" s="35" customFormat="1" ht="47.25" outlineLevel="4">
      <c r="A679" s="32" t="s">
        <v>620</v>
      </c>
      <c r="B679" s="33" t="s">
        <v>715</v>
      </c>
      <c r="C679" s="33" t="s">
        <v>2</v>
      </c>
      <c r="D679" s="33" t="s">
        <v>66</v>
      </c>
      <c r="E679" s="33" t="s">
        <v>91</v>
      </c>
      <c r="F679" s="33" t="s">
        <v>1</v>
      </c>
      <c r="G679" s="34">
        <f>G680</f>
        <v>837822.0700000001</v>
      </c>
      <c r="H679" s="34"/>
      <c r="I679" s="106"/>
    </row>
    <row r="680" spans="1:8" ht="47.25" outlineLevel="5">
      <c r="A680" s="36" t="s">
        <v>726</v>
      </c>
      <c r="B680" s="37" t="s">
        <v>715</v>
      </c>
      <c r="C680" s="37" t="s">
        <v>2</v>
      </c>
      <c r="D680" s="37" t="s">
        <v>66</v>
      </c>
      <c r="E680" s="37" t="s">
        <v>94</v>
      </c>
      <c r="F680" s="37" t="s">
        <v>1</v>
      </c>
      <c r="G680" s="38">
        <f>G681</f>
        <v>837822.0700000001</v>
      </c>
      <c r="H680" s="38"/>
    </row>
    <row r="681" spans="1:8" ht="31.5" outlineLevel="6">
      <c r="A681" s="36" t="s">
        <v>441</v>
      </c>
      <c r="B681" s="37" t="s">
        <v>715</v>
      </c>
      <c r="C681" s="37" t="s">
        <v>2</v>
      </c>
      <c r="D681" s="37" t="s">
        <v>66</v>
      </c>
      <c r="E681" s="37" t="s">
        <v>95</v>
      </c>
      <c r="F681" s="37" t="s">
        <v>1</v>
      </c>
      <c r="G681" s="38">
        <f>G682</f>
        <v>837822.0700000001</v>
      </c>
      <c r="H681" s="38"/>
    </row>
    <row r="682" spans="1:8" ht="31.5" outlineLevel="7">
      <c r="A682" s="36" t="s">
        <v>689</v>
      </c>
      <c r="B682" s="37" t="s">
        <v>715</v>
      </c>
      <c r="C682" s="37" t="s">
        <v>2</v>
      </c>
      <c r="D682" s="37" t="s">
        <v>66</v>
      </c>
      <c r="E682" s="37" t="s">
        <v>95</v>
      </c>
      <c r="F682" s="37" t="s">
        <v>17</v>
      </c>
      <c r="G682" s="38">
        <f>857742.29-19920.22</f>
        <v>837822.0700000001</v>
      </c>
      <c r="H682" s="38"/>
    </row>
    <row r="683" spans="1:8" ht="15.75" outlineLevel="7">
      <c r="A683" s="42" t="s">
        <v>490</v>
      </c>
      <c r="B683" s="33" t="s">
        <v>715</v>
      </c>
      <c r="C683" s="33" t="s">
        <v>2</v>
      </c>
      <c r="D683" s="33" t="s">
        <v>66</v>
      </c>
      <c r="E683" s="43" t="s">
        <v>11</v>
      </c>
      <c r="F683" s="43" t="s">
        <v>1</v>
      </c>
      <c r="G683" s="34">
        <f>G684</f>
        <v>19920.22</v>
      </c>
      <c r="H683" s="38"/>
    </row>
    <row r="684" spans="1:8" ht="31.5" outlineLevel="7">
      <c r="A684" s="19" t="s">
        <v>448</v>
      </c>
      <c r="B684" s="37" t="s">
        <v>715</v>
      </c>
      <c r="C684" s="20" t="s">
        <v>2</v>
      </c>
      <c r="D684" s="20" t="s">
        <v>66</v>
      </c>
      <c r="E684" s="20" t="s">
        <v>142</v>
      </c>
      <c r="F684" s="20" t="s">
        <v>1</v>
      </c>
      <c r="G684" s="38">
        <f>G685+G686</f>
        <v>19920.22</v>
      </c>
      <c r="H684" s="38"/>
    </row>
    <row r="685" spans="1:8" ht="94.5" outlineLevel="7">
      <c r="A685" s="103" t="s">
        <v>704</v>
      </c>
      <c r="B685" s="37" t="s">
        <v>715</v>
      </c>
      <c r="C685" s="64" t="s">
        <v>2</v>
      </c>
      <c r="D685" s="64" t="s">
        <v>66</v>
      </c>
      <c r="E685" s="64" t="s">
        <v>142</v>
      </c>
      <c r="F685" s="64" t="s">
        <v>10</v>
      </c>
      <c r="G685" s="38">
        <f>19420.22</f>
        <v>19420.22</v>
      </c>
      <c r="H685" s="38"/>
    </row>
    <row r="686" spans="1:8" ht="15.75" outlineLevel="7">
      <c r="A686" s="19" t="s">
        <v>691</v>
      </c>
      <c r="B686" s="37" t="s">
        <v>715</v>
      </c>
      <c r="C686" s="20" t="s">
        <v>2</v>
      </c>
      <c r="D686" s="20" t="s">
        <v>66</v>
      </c>
      <c r="E686" s="20" t="s">
        <v>142</v>
      </c>
      <c r="F686" s="20" t="s">
        <v>65</v>
      </c>
      <c r="G686" s="38">
        <v>500</v>
      </c>
      <c r="H686" s="38"/>
    </row>
    <row r="687" spans="1:9" s="35" customFormat="1" ht="15.75" outlineLevel="1">
      <c r="A687" s="32" t="s">
        <v>696</v>
      </c>
      <c r="B687" s="33" t="s">
        <v>715</v>
      </c>
      <c r="C687" s="33" t="s">
        <v>239</v>
      </c>
      <c r="D687" s="33" t="s">
        <v>3</v>
      </c>
      <c r="E687" s="33" t="s">
        <v>4</v>
      </c>
      <c r="F687" s="33" t="s">
        <v>1</v>
      </c>
      <c r="G687" s="34">
        <f>G688+G723+G777+G807+G822</f>
        <v>1328871370.8799999</v>
      </c>
      <c r="H687" s="34">
        <f>H688+H723+H777+H807+H822</f>
        <v>712404575.92</v>
      </c>
      <c r="I687" s="106"/>
    </row>
    <row r="688" spans="1:9" s="35" customFormat="1" ht="15.75" outlineLevel="2">
      <c r="A688" s="32" t="s">
        <v>676</v>
      </c>
      <c r="B688" s="33" t="s">
        <v>715</v>
      </c>
      <c r="C688" s="33" t="s">
        <v>239</v>
      </c>
      <c r="D688" s="33" t="s">
        <v>2</v>
      </c>
      <c r="E688" s="33" t="s">
        <v>4</v>
      </c>
      <c r="F688" s="33" t="s">
        <v>1</v>
      </c>
      <c r="G688" s="34">
        <f>G689+G718</f>
        <v>557142072.92</v>
      </c>
      <c r="H688" s="34">
        <f>H689</f>
        <v>335949316</v>
      </c>
      <c r="I688" s="106"/>
    </row>
    <row r="689" spans="1:9" s="35" customFormat="1" ht="47.25" outlineLevel="3">
      <c r="A689" s="32" t="s">
        <v>653</v>
      </c>
      <c r="B689" s="33" t="s">
        <v>715</v>
      </c>
      <c r="C689" s="33" t="s">
        <v>239</v>
      </c>
      <c r="D689" s="33" t="s">
        <v>2</v>
      </c>
      <c r="E689" s="33" t="s">
        <v>23</v>
      </c>
      <c r="F689" s="33" t="s">
        <v>1</v>
      </c>
      <c r="G689" s="34">
        <f>G690+G704</f>
        <v>554829866.92</v>
      </c>
      <c r="H689" s="34">
        <f>H690</f>
        <v>335949316</v>
      </c>
      <c r="I689" s="106"/>
    </row>
    <row r="690" spans="1:9" s="35" customFormat="1" ht="31.5" outlineLevel="4">
      <c r="A690" s="32" t="s">
        <v>636</v>
      </c>
      <c r="B690" s="33" t="s">
        <v>715</v>
      </c>
      <c r="C690" s="33" t="s">
        <v>239</v>
      </c>
      <c r="D690" s="33" t="s">
        <v>2</v>
      </c>
      <c r="E690" s="33" t="s">
        <v>240</v>
      </c>
      <c r="F690" s="33" t="s">
        <v>1</v>
      </c>
      <c r="G690" s="34">
        <f>G691+G698+G701</f>
        <v>547439497.88</v>
      </c>
      <c r="H690" s="34">
        <f>H691</f>
        <v>335949316</v>
      </c>
      <c r="I690" s="106"/>
    </row>
    <row r="691" spans="1:8" ht="78.75" outlineLevel="5">
      <c r="A691" s="36" t="s">
        <v>958</v>
      </c>
      <c r="B691" s="37" t="s">
        <v>715</v>
      </c>
      <c r="C691" s="37" t="s">
        <v>239</v>
      </c>
      <c r="D691" s="37" t="s">
        <v>2</v>
      </c>
      <c r="E691" s="37" t="s">
        <v>241</v>
      </c>
      <c r="F691" s="37" t="s">
        <v>1</v>
      </c>
      <c r="G691" s="38">
        <f>G692+G694+G696</f>
        <v>335964666.52</v>
      </c>
      <c r="H691" s="38">
        <f>H692+H694</f>
        <v>335949316</v>
      </c>
    </row>
    <row r="692" spans="1:8" ht="78.75" outlineLevel="6">
      <c r="A692" s="36" t="s">
        <v>465</v>
      </c>
      <c r="B692" s="37" t="s">
        <v>715</v>
      </c>
      <c r="C692" s="37" t="s">
        <v>239</v>
      </c>
      <c r="D692" s="37" t="s">
        <v>2</v>
      </c>
      <c r="E692" s="37" t="s">
        <v>242</v>
      </c>
      <c r="F692" s="37" t="s">
        <v>1</v>
      </c>
      <c r="G692" s="38">
        <f>G693</f>
        <v>203716</v>
      </c>
      <c r="H692" s="38">
        <f>H693</f>
        <v>203716</v>
      </c>
    </row>
    <row r="693" spans="1:8" ht="47.25" outlineLevel="7">
      <c r="A693" s="36" t="s">
        <v>692</v>
      </c>
      <c r="B693" s="37" t="s">
        <v>715</v>
      </c>
      <c r="C693" s="37" t="s">
        <v>239</v>
      </c>
      <c r="D693" s="37" t="s">
        <v>2</v>
      </c>
      <c r="E693" s="37" t="s">
        <v>242</v>
      </c>
      <c r="F693" s="37" t="s">
        <v>70</v>
      </c>
      <c r="G693" s="38">
        <f>488918.78-285202.78</f>
        <v>203716</v>
      </c>
      <c r="H693" s="38">
        <f>G693</f>
        <v>203716</v>
      </c>
    </row>
    <row r="694" spans="1:8" ht="78.75" outlineLevel="6">
      <c r="A694" s="36" t="s">
        <v>466</v>
      </c>
      <c r="B694" s="37" t="s">
        <v>715</v>
      </c>
      <c r="C694" s="37" t="s">
        <v>239</v>
      </c>
      <c r="D694" s="37" t="s">
        <v>2</v>
      </c>
      <c r="E694" s="37" t="s">
        <v>243</v>
      </c>
      <c r="F694" s="37" t="s">
        <v>1</v>
      </c>
      <c r="G694" s="38">
        <f>G695</f>
        <v>335745600</v>
      </c>
      <c r="H694" s="38">
        <f>H695</f>
        <v>335745600</v>
      </c>
    </row>
    <row r="695" spans="1:8" ht="47.25" outlineLevel="7">
      <c r="A695" s="36" t="s">
        <v>692</v>
      </c>
      <c r="B695" s="37" t="s">
        <v>715</v>
      </c>
      <c r="C695" s="37" t="s">
        <v>239</v>
      </c>
      <c r="D695" s="37" t="s">
        <v>2</v>
      </c>
      <c r="E695" s="37" t="s">
        <v>243</v>
      </c>
      <c r="F695" s="37" t="s">
        <v>70</v>
      </c>
      <c r="G695" s="38">
        <v>335745600</v>
      </c>
      <c r="H695" s="38">
        <f>G695</f>
        <v>335745600</v>
      </c>
    </row>
    <row r="696" spans="1:8" ht="78.75" outlineLevel="6">
      <c r="A696" s="36" t="s">
        <v>465</v>
      </c>
      <c r="B696" s="37" t="s">
        <v>715</v>
      </c>
      <c r="C696" s="37" t="s">
        <v>239</v>
      </c>
      <c r="D696" s="37" t="s">
        <v>2</v>
      </c>
      <c r="E696" s="37" t="s">
        <v>244</v>
      </c>
      <c r="F696" s="37" t="s">
        <v>1</v>
      </c>
      <c r="G696" s="38">
        <f>G697</f>
        <v>15350.52</v>
      </c>
      <c r="H696" s="38"/>
    </row>
    <row r="697" spans="1:8" ht="47.25" outlineLevel="7">
      <c r="A697" s="36" t="s">
        <v>692</v>
      </c>
      <c r="B697" s="37" t="s">
        <v>715</v>
      </c>
      <c r="C697" s="37" t="s">
        <v>239</v>
      </c>
      <c r="D697" s="37" t="s">
        <v>2</v>
      </c>
      <c r="E697" s="37" t="s">
        <v>244</v>
      </c>
      <c r="F697" s="37" t="s">
        <v>70</v>
      </c>
      <c r="G697" s="38">
        <f>30701.13-15350.61</f>
        <v>15350.52</v>
      </c>
      <c r="H697" s="38"/>
    </row>
    <row r="698" spans="1:8" ht="63" outlineLevel="5">
      <c r="A698" s="36" t="s">
        <v>962</v>
      </c>
      <c r="B698" s="37" t="s">
        <v>715</v>
      </c>
      <c r="C698" s="37" t="s">
        <v>239</v>
      </c>
      <c r="D698" s="37" t="s">
        <v>2</v>
      </c>
      <c r="E698" s="37" t="s">
        <v>245</v>
      </c>
      <c r="F698" s="37" t="s">
        <v>1</v>
      </c>
      <c r="G698" s="38">
        <f>G699</f>
        <v>203242823.92</v>
      </c>
      <c r="H698" s="38"/>
    </row>
    <row r="699" spans="1:8" ht="78.75" outlineLevel="6">
      <c r="A699" s="36" t="s">
        <v>443</v>
      </c>
      <c r="B699" s="37" t="s">
        <v>715</v>
      </c>
      <c r="C699" s="37" t="s">
        <v>239</v>
      </c>
      <c r="D699" s="37" t="s">
        <v>2</v>
      </c>
      <c r="E699" s="37" t="s">
        <v>246</v>
      </c>
      <c r="F699" s="37" t="s">
        <v>1</v>
      </c>
      <c r="G699" s="38">
        <f>G700</f>
        <v>203242823.92</v>
      </c>
      <c r="H699" s="38"/>
    </row>
    <row r="700" spans="1:8" ht="47.25" outlineLevel="7">
      <c r="A700" s="36" t="s">
        <v>692</v>
      </c>
      <c r="B700" s="37" t="s">
        <v>715</v>
      </c>
      <c r="C700" s="37" t="s">
        <v>239</v>
      </c>
      <c r="D700" s="37" t="s">
        <v>2</v>
      </c>
      <c r="E700" s="37" t="s">
        <v>246</v>
      </c>
      <c r="F700" s="37" t="s">
        <v>70</v>
      </c>
      <c r="G700" s="38">
        <f>204543626.85-1300802.93</f>
        <v>203242823.92</v>
      </c>
      <c r="H700" s="38"/>
    </row>
    <row r="701" spans="1:8" ht="31.5" outlineLevel="5">
      <c r="A701" s="36" t="s">
        <v>786</v>
      </c>
      <c r="B701" s="37" t="s">
        <v>715</v>
      </c>
      <c r="C701" s="37" t="s">
        <v>239</v>
      </c>
      <c r="D701" s="37" t="s">
        <v>2</v>
      </c>
      <c r="E701" s="37" t="s">
        <v>247</v>
      </c>
      <c r="F701" s="37" t="s">
        <v>1</v>
      </c>
      <c r="G701" s="38">
        <f>G702</f>
        <v>8232007.44</v>
      </c>
      <c r="H701" s="38"/>
    </row>
    <row r="702" spans="1:8" ht="78.75" outlineLevel="6">
      <c r="A702" s="36" t="s">
        <v>432</v>
      </c>
      <c r="B702" s="37" t="s">
        <v>715</v>
      </c>
      <c r="C702" s="37" t="s">
        <v>239</v>
      </c>
      <c r="D702" s="37" t="s">
        <v>2</v>
      </c>
      <c r="E702" s="37" t="s">
        <v>248</v>
      </c>
      <c r="F702" s="37" t="s">
        <v>1</v>
      </c>
      <c r="G702" s="38">
        <f>G703</f>
        <v>8232007.44</v>
      </c>
      <c r="H702" s="38"/>
    </row>
    <row r="703" spans="1:8" ht="47.25" outlineLevel="7">
      <c r="A703" s="36" t="s">
        <v>692</v>
      </c>
      <c r="B703" s="37" t="s">
        <v>715</v>
      </c>
      <c r="C703" s="37" t="s">
        <v>239</v>
      </c>
      <c r="D703" s="37" t="s">
        <v>2</v>
      </c>
      <c r="E703" s="37" t="s">
        <v>248</v>
      </c>
      <c r="F703" s="37" t="s">
        <v>70</v>
      </c>
      <c r="G703" s="38">
        <f>8012033+219974.44</f>
        <v>8232007.44</v>
      </c>
      <c r="H703" s="38"/>
    </row>
    <row r="704" spans="1:9" s="35" customFormat="1" ht="47.25" outlineLevel="4">
      <c r="A704" s="32" t="s">
        <v>637</v>
      </c>
      <c r="B704" s="33" t="s">
        <v>715</v>
      </c>
      <c r="C704" s="33" t="s">
        <v>239</v>
      </c>
      <c r="D704" s="33" t="s">
        <v>2</v>
      </c>
      <c r="E704" s="33" t="s">
        <v>249</v>
      </c>
      <c r="F704" s="33" t="s">
        <v>1</v>
      </c>
      <c r="G704" s="34">
        <f>G705+G713+G708</f>
        <v>7390369.04</v>
      </c>
      <c r="H704" s="34"/>
      <c r="I704" s="106"/>
    </row>
    <row r="705" spans="1:8" ht="31.5" outlineLevel="5">
      <c r="A705" s="36" t="s">
        <v>793</v>
      </c>
      <c r="B705" s="37" t="s">
        <v>715</v>
      </c>
      <c r="C705" s="37" t="s">
        <v>239</v>
      </c>
      <c r="D705" s="37" t="s">
        <v>2</v>
      </c>
      <c r="E705" s="37" t="s">
        <v>252</v>
      </c>
      <c r="F705" s="37" t="s">
        <v>1</v>
      </c>
      <c r="G705" s="38">
        <f>G706</f>
        <v>715122.71</v>
      </c>
      <c r="H705" s="38"/>
    </row>
    <row r="706" spans="1:8" ht="31.5" outlineLevel="6">
      <c r="A706" s="36" t="s">
        <v>441</v>
      </c>
      <c r="B706" s="37" t="s">
        <v>715</v>
      </c>
      <c r="C706" s="37" t="s">
        <v>239</v>
      </c>
      <c r="D706" s="37" t="s">
        <v>2</v>
      </c>
      <c r="E706" s="37" t="s">
        <v>253</v>
      </c>
      <c r="F706" s="37" t="s">
        <v>1</v>
      </c>
      <c r="G706" s="38">
        <f>G707</f>
        <v>715122.71</v>
      </c>
      <c r="H706" s="38"/>
    </row>
    <row r="707" spans="1:8" ht="47.25" outlineLevel="7">
      <c r="A707" s="36" t="s">
        <v>692</v>
      </c>
      <c r="B707" s="37" t="s">
        <v>715</v>
      </c>
      <c r="C707" s="37" t="s">
        <v>239</v>
      </c>
      <c r="D707" s="37" t="s">
        <v>2</v>
      </c>
      <c r="E707" s="37" t="s">
        <v>253</v>
      </c>
      <c r="F707" s="37" t="s">
        <v>70</v>
      </c>
      <c r="G707" s="38">
        <f>1187188-472065.29</f>
        <v>715122.71</v>
      </c>
      <c r="H707" s="38"/>
    </row>
    <row r="708" spans="1:8" ht="47.25" outlineLevel="7">
      <c r="A708" s="36" t="s">
        <v>585</v>
      </c>
      <c r="B708" s="37" t="s">
        <v>715</v>
      </c>
      <c r="C708" s="37" t="s">
        <v>239</v>
      </c>
      <c r="D708" s="37" t="s">
        <v>2</v>
      </c>
      <c r="E708" s="37" t="s">
        <v>415</v>
      </c>
      <c r="F708" s="37" t="s">
        <v>1</v>
      </c>
      <c r="G708" s="38">
        <f>G709+G711</f>
        <v>5595319.38</v>
      </c>
      <c r="H708" s="38"/>
    </row>
    <row r="709" spans="1:8" ht="31.5" outlineLevel="7">
      <c r="A709" s="36" t="s">
        <v>456</v>
      </c>
      <c r="B709" s="37" t="s">
        <v>715</v>
      </c>
      <c r="C709" s="37" t="s">
        <v>239</v>
      </c>
      <c r="D709" s="37" t="s">
        <v>2</v>
      </c>
      <c r="E709" s="37" t="s">
        <v>890</v>
      </c>
      <c r="F709" s="37" t="s">
        <v>1</v>
      </c>
      <c r="G709" s="38">
        <f>G710</f>
        <v>4040309.38</v>
      </c>
      <c r="H709" s="38"/>
    </row>
    <row r="710" spans="1:8" ht="47.25" outlineLevel="7">
      <c r="A710" s="36" t="s">
        <v>692</v>
      </c>
      <c r="B710" s="37" t="s">
        <v>715</v>
      </c>
      <c r="C710" s="37" t="s">
        <v>239</v>
      </c>
      <c r="D710" s="37" t="s">
        <v>2</v>
      </c>
      <c r="E710" s="37" t="s">
        <v>890</v>
      </c>
      <c r="F710" s="37" t="s">
        <v>70</v>
      </c>
      <c r="G710" s="38">
        <f>944051+3729158.5-632900.12</f>
        <v>4040309.38</v>
      </c>
      <c r="H710" s="38"/>
    </row>
    <row r="711" spans="1:8" ht="31.5" outlineLevel="7">
      <c r="A711" s="36" t="s">
        <v>441</v>
      </c>
      <c r="B711" s="37" t="s">
        <v>715</v>
      </c>
      <c r="C711" s="37" t="s">
        <v>239</v>
      </c>
      <c r="D711" s="37" t="s">
        <v>2</v>
      </c>
      <c r="E711" s="37" t="s">
        <v>947</v>
      </c>
      <c r="F711" s="37" t="s">
        <v>1</v>
      </c>
      <c r="G711" s="38">
        <f>G712</f>
        <v>1555010</v>
      </c>
      <c r="H711" s="38"/>
    </row>
    <row r="712" spans="1:8" ht="47.25" outlineLevel="7">
      <c r="A712" s="36" t="s">
        <v>692</v>
      </c>
      <c r="B712" s="37" t="s">
        <v>715</v>
      </c>
      <c r="C712" s="37" t="s">
        <v>239</v>
      </c>
      <c r="D712" s="37" t="s">
        <v>2</v>
      </c>
      <c r="E712" s="37" t="s">
        <v>947</v>
      </c>
      <c r="F712" s="37" t="s">
        <v>70</v>
      </c>
      <c r="G712" s="38">
        <v>1555010</v>
      </c>
      <c r="H712" s="38"/>
    </row>
    <row r="713" spans="1:8" ht="47.25" outlineLevel="5">
      <c r="A713" s="36" t="s">
        <v>787</v>
      </c>
      <c r="B713" s="37" t="s">
        <v>715</v>
      </c>
      <c r="C713" s="37" t="s">
        <v>239</v>
      </c>
      <c r="D713" s="37" t="s">
        <v>2</v>
      </c>
      <c r="E713" s="37" t="s">
        <v>254</v>
      </c>
      <c r="F713" s="37" t="s">
        <v>1</v>
      </c>
      <c r="G713" s="38">
        <f>G716+G714</f>
        <v>1079926.95</v>
      </c>
      <c r="H713" s="38"/>
    </row>
    <row r="714" spans="1:8" ht="31.5" outlineLevel="5">
      <c r="A714" s="36" t="s">
        <v>456</v>
      </c>
      <c r="B714" s="37" t="s">
        <v>715</v>
      </c>
      <c r="C714" s="37" t="s">
        <v>239</v>
      </c>
      <c r="D714" s="37" t="s">
        <v>2</v>
      </c>
      <c r="E714" s="37" t="s">
        <v>416</v>
      </c>
      <c r="F714" s="37" t="s">
        <v>1</v>
      </c>
      <c r="G714" s="38">
        <f>G715</f>
        <v>887050</v>
      </c>
      <c r="H714" s="38"/>
    </row>
    <row r="715" spans="1:8" ht="47.25" outlineLevel="5">
      <c r="A715" s="36" t="s">
        <v>692</v>
      </c>
      <c r="B715" s="37" t="s">
        <v>715</v>
      </c>
      <c r="C715" s="37" t="s">
        <v>239</v>
      </c>
      <c r="D715" s="37" t="s">
        <v>2</v>
      </c>
      <c r="E715" s="37" t="s">
        <v>416</v>
      </c>
      <c r="F715" s="37" t="s">
        <v>70</v>
      </c>
      <c r="G715" s="38">
        <f>887050</f>
        <v>887050</v>
      </c>
      <c r="H715" s="38"/>
    </row>
    <row r="716" spans="1:8" ht="31.5" outlineLevel="6">
      <c r="A716" s="36" t="s">
        <v>441</v>
      </c>
      <c r="B716" s="37" t="s">
        <v>715</v>
      </c>
      <c r="C716" s="37" t="s">
        <v>239</v>
      </c>
      <c r="D716" s="37" t="s">
        <v>2</v>
      </c>
      <c r="E716" s="37" t="s">
        <v>255</v>
      </c>
      <c r="F716" s="37" t="s">
        <v>1</v>
      </c>
      <c r="G716" s="38">
        <f>G717</f>
        <v>192876.95</v>
      </c>
      <c r="H716" s="38"/>
    </row>
    <row r="717" spans="1:8" ht="47.25" outlineLevel="7">
      <c r="A717" s="36" t="s">
        <v>692</v>
      </c>
      <c r="B717" s="37" t="s">
        <v>715</v>
      </c>
      <c r="C717" s="37" t="s">
        <v>239</v>
      </c>
      <c r="D717" s="37" t="s">
        <v>2</v>
      </c>
      <c r="E717" s="37" t="s">
        <v>255</v>
      </c>
      <c r="F717" s="37" t="s">
        <v>70</v>
      </c>
      <c r="G717" s="38">
        <f>180030-30856+43702.95</f>
        <v>192876.95</v>
      </c>
      <c r="H717" s="38"/>
    </row>
    <row r="718" spans="1:9" s="35" customFormat="1" ht="47.25" outlineLevel="3">
      <c r="A718" s="32" t="s">
        <v>655</v>
      </c>
      <c r="B718" s="33" t="s">
        <v>715</v>
      </c>
      <c r="C718" s="33" t="s">
        <v>239</v>
      </c>
      <c r="D718" s="33" t="s">
        <v>2</v>
      </c>
      <c r="E718" s="33" t="s">
        <v>90</v>
      </c>
      <c r="F718" s="33" t="s">
        <v>1</v>
      </c>
      <c r="G718" s="34">
        <f>G719</f>
        <v>2312206</v>
      </c>
      <c r="H718" s="34"/>
      <c r="I718" s="106"/>
    </row>
    <row r="719" spans="1:9" s="35" customFormat="1" ht="47.25" outlineLevel="4">
      <c r="A719" s="32" t="s">
        <v>620</v>
      </c>
      <c r="B719" s="33" t="s">
        <v>715</v>
      </c>
      <c r="C719" s="33" t="s">
        <v>239</v>
      </c>
      <c r="D719" s="33" t="s">
        <v>2</v>
      </c>
      <c r="E719" s="33" t="s">
        <v>91</v>
      </c>
      <c r="F719" s="33" t="s">
        <v>1</v>
      </c>
      <c r="G719" s="34">
        <f>G720</f>
        <v>2312206</v>
      </c>
      <c r="H719" s="34"/>
      <c r="I719" s="106"/>
    </row>
    <row r="720" spans="1:8" ht="31.5" outlineLevel="5">
      <c r="A720" s="36" t="s">
        <v>734</v>
      </c>
      <c r="B720" s="37" t="s">
        <v>715</v>
      </c>
      <c r="C720" s="37" t="s">
        <v>239</v>
      </c>
      <c r="D720" s="37" t="s">
        <v>2</v>
      </c>
      <c r="E720" s="37" t="s">
        <v>100</v>
      </c>
      <c r="F720" s="37" t="s">
        <v>1</v>
      </c>
      <c r="G720" s="38">
        <f>G721</f>
        <v>2312206</v>
      </c>
      <c r="H720" s="38"/>
    </row>
    <row r="721" spans="1:8" ht="31.5" outlineLevel="6">
      <c r="A721" s="36" t="s">
        <v>441</v>
      </c>
      <c r="B721" s="37" t="s">
        <v>715</v>
      </c>
      <c r="C721" s="37" t="s">
        <v>239</v>
      </c>
      <c r="D721" s="37" t="s">
        <v>2</v>
      </c>
      <c r="E721" s="37" t="s">
        <v>101</v>
      </c>
      <c r="F721" s="37" t="s">
        <v>1</v>
      </c>
      <c r="G721" s="38">
        <f>G722</f>
        <v>2312206</v>
      </c>
      <c r="H721" s="38"/>
    </row>
    <row r="722" spans="1:8" ht="47.25" outlineLevel="7">
      <c r="A722" s="36" t="s">
        <v>692</v>
      </c>
      <c r="B722" s="37" t="s">
        <v>715</v>
      </c>
      <c r="C722" s="37" t="s">
        <v>239</v>
      </c>
      <c r="D722" s="37" t="s">
        <v>2</v>
      </c>
      <c r="E722" s="37" t="s">
        <v>101</v>
      </c>
      <c r="F722" s="37" t="s">
        <v>70</v>
      </c>
      <c r="G722" s="38">
        <f>2382758+10000-80552</f>
        <v>2312206</v>
      </c>
      <c r="H722" s="38"/>
    </row>
    <row r="723" spans="1:9" s="35" customFormat="1" ht="15.75" outlineLevel="2">
      <c r="A723" s="32" t="s">
        <v>677</v>
      </c>
      <c r="B723" s="33" t="s">
        <v>715</v>
      </c>
      <c r="C723" s="33" t="s">
        <v>239</v>
      </c>
      <c r="D723" s="33" t="s">
        <v>5</v>
      </c>
      <c r="E723" s="33" t="s">
        <v>4</v>
      </c>
      <c r="F723" s="33" t="s">
        <v>1</v>
      </c>
      <c r="G723" s="34">
        <f>G724+G772</f>
        <v>474977774.92</v>
      </c>
      <c r="H723" s="34">
        <f>H724</f>
        <v>351506557.28999996</v>
      </c>
      <c r="I723" s="106"/>
    </row>
    <row r="724" spans="1:9" s="35" customFormat="1" ht="47.25" outlineLevel="3">
      <c r="A724" s="32" t="s">
        <v>653</v>
      </c>
      <c r="B724" s="33" t="s">
        <v>715</v>
      </c>
      <c r="C724" s="33" t="s">
        <v>239</v>
      </c>
      <c r="D724" s="33" t="s">
        <v>5</v>
      </c>
      <c r="E724" s="33" t="s">
        <v>23</v>
      </c>
      <c r="F724" s="33" t="s">
        <v>1</v>
      </c>
      <c r="G724" s="34">
        <f>G734+G758+G725</f>
        <v>473913822.92</v>
      </c>
      <c r="H724" s="34">
        <f>H734+H758+H725</f>
        <v>351506557.28999996</v>
      </c>
      <c r="I724" s="106"/>
    </row>
    <row r="725" spans="1:9" s="35" customFormat="1" ht="31.5" outlineLevel="3">
      <c r="A725" s="32" t="s">
        <v>636</v>
      </c>
      <c r="B725" s="33" t="s">
        <v>715</v>
      </c>
      <c r="C725" s="33" t="s">
        <v>239</v>
      </c>
      <c r="D725" s="33" t="s">
        <v>5</v>
      </c>
      <c r="E725" s="33" t="s">
        <v>240</v>
      </c>
      <c r="F725" s="33" t="s">
        <v>1</v>
      </c>
      <c r="G725" s="34">
        <f>G726+G731</f>
        <v>3393553.1</v>
      </c>
      <c r="H725" s="34">
        <f>H726+H731</f>
        <v>144011.59</v>
      </c>
      <c r="I725" s="106"/>
    </row>
    <row r="726" spans="1:9" s="35" customFormat="1" ht="78.75" outlineLevel="3">
      <c r="A726" s="36" t="s">
        <v>958</v>
      </c>
      <c r="B726" s="37" t="s">
        <v>715</v>
      </c>
      <c r="C726" s="37" t="s">
        <v>239</v>
      </c>
      <c r="D726" s="37" t="s">
        <v>5</v>
      </c>
      <c r="E726" s="37" t="s">
        <v>241</v>
      </c>
      <c r="F726" s="37" t="s">
        <v>1</v>
      </c>
      <c r="G726" s="38">
        <f>G727+G729</f>
        <v>151931.08</v>
      </c>
      <c r="H726" s="38">
        <f>H727+H729</f>
        <v>144011.59</v>
      </c>
      <c r="I726" s="106"/>
    </row>
    <row r="727" spans="1:9" s="35" customFormat="1" ht="78.75" outlineLevel="3">
      <c r="A727" s="36" t="s">
        <v>465</v>
      </c>
      <c r="B727" s="37" t="s">
        <v>715</v>
      </c>
      <c r="C727" s="37" t="s">
        <v>239</v>
      </c>
      <c r="D727" s="37" t="s">
        <v>5</v>
      </c>
      <c r="E727" s="37" t="s">
        <v>242</v>
      </c>
      <c r="F727" s="37" t="s">
        <v>1</v>
      </c>
      <c r="G727" s="38">
        <f>G728</f>
        <v>144011.59</v>
      </c>
      <c r="H727" s="38">
        <f>H728</f>
        <v>144011.59</v>
      </c>
      <c r="I727" s="106"/>
    </row>
    <row r="728" spans="1:9" s="35" customFormat="1" ht="47.25" outlineLevel="3">
      <c r="A728" s="36" t="s">
        <v>692</v>
      </c>
      <c r="B728" s="37" t="s">
        <v>715</v>
      </c>
      <c r="C728" s="37" t="s">
        <v>239</v>
      </c>
      <c r="D728" s="37" t="s">
        <v>5</v>
      </c>
      <c r="E728" s="37" t="s">
        <v>242</v>
      </c>
      <c r="F728" s="37" t="s">
        <v>70</v>
      </c>
      <c r="G728" s="38">
        <f>144011.59</f>
        <v>144011.59</v>
      </c>
      <c r="H728" s="38">
        <f>G728</f>
        <v>144011.59</v>
      </c>
      <c r="I728" s="106"/>
    </row>
    <row r="729" spans="1:9" s="35" customFormat="1" ht="78.75" outlineLevel="3">
      <c r="A729" s="36" t="s">
        <v>465</v>
      </c>
      <c r="B729" s="37" t="s">
        <v>715</v>
      </c>
      <c r="C729" s="37" t="s">
        <v>239</v>
      </c>
      <c r="D729" s="37" t="s">
        <v>5</v>
      </c>
      <c r="E729" s="37" t="s">
        <v>244</v>
      </c>
      <c r="F729" s="37" t="s">
        <v>1</v>
      </c>
      <c r="G729" s="38">
        <f>G730</f>
        <v>7919.49</v>
      </c>
      <c r="H729" s="38"/>
      <c r="I729" s="106"/>
    </row>
    <row r="730" spans="1:9" s="35" customFormat="1" ht="47.25" outlineLevel="3">
      <c r="A730" s="36" t="s">
        <v>692</v>
      </c>
      <c r="B730" s="37" t="s">
        <v>715</v>
      </c>
      <c r="C730" s="37" t="s">
        <v>239</v>
      </c>
      <c r="D730" s="37" t="s">
        <v>5</v>
      </c>
      <c r="E730" s="37" t="s">
        <v>244</v>
      </c>
      <c r="F730" s="37" t="s">
        <v>70</v>
      </c>
      <c r="G730" s="38">
        <v>7919.49</v>
      </c>
      <c r="H730" s="38"/>
      <c r="I730" s="106"/>
    </row>
    <row r="731" spans="1:9" s="35" customFormat="1" ht="63" outlineLevel="3">
      <c r="A731" s="36" t="s">
        <v>962</v>
      </c>
      <c r="B731" s="37" t="s">
        <v>715</v>
      </c>
      <c r="C731" s="37" t="s">
        <v>239</v>
      </c>
      <c r="D731" s="37" t="s">
        <v>5</v>
      </c>
      <c r="E731" s="37" t="s">
        <v>245</v>
      </c>
      <c r="F731" s="37" t="s">
        <v>1</v>
      </c>
      <c r="G731" s="38">
        <f>G732</f>
        <v>3241622.02</v>
      </c>
      <c r="H731" s="38"/>
      <c r="I731" s="106"/>
    </row>
    <row r="732" spans="1:9" s="35" customFormat="1" ht="78.75" outlineLevel="3">
      <c r="A732" s="36" t="s">
        <v>443</v>
      </c>
      <c r="B732" s="37" t="s">
        <v>715</v>
      </c>
      <c r="C732" s="37" t="s">
        <v>239</v>
      </c>
      <c r="D732" s="37" t="s">
        <v>5</v>
      </c>
      <c r="E732" s="37" t="s">
        <v>246</v>
      </c>
      <c r="F732" s="37" t="s">
        <v>1</v>
      </c>
      <c r="G732" s="38">
        <f>G733</f>
        <v>3241622.02</v>
      </c>
      <c r="H732" s="38"/>
      <c r="I732" s="106"/>
    </row>
    <row r="733" spans="1:9" s="35" customFormat="1" ht="47.25" outlineLevel="3">
      <c r="A733" s="36" t="s">
        <v>692</v>
      </c>
      <c r="B733" s="37" t="s">
        <v>715</v>
      </c>
      <c r="C733" s="37" t="s">
        <v>239</v>
      </c>
      <c r="D733" s="37" t="s">
        <v>5</v>
      </c>
      <c r="E733" s="37" t="s">
        <v>246</v>
      </c>
      <c r="F733" s="37" t="s">
        <v>70</v>
      </c>
      <c r="G733" s="38">
        <f>3241622.02</f>
        <v>3241622.02</v>
      </c>
      <c r="H733" s="38"/>
      <c r="I733" s="106"/>
    </row>
    <row r="734" spans="1:9" s="35" customFormat="1" ht="63" outlineLevel="4">
      <c r="A734" s="32" t="s">
        <v>638</v>
      </c>
      <c r="B734" s="33" t="s">
        <v>715</v>
      </c>
      <c r="C734" s="33" t="s">
        <v>239</v>
      </c>
      <c r="D734" s="33" t="s">
        <v>5</v>
      </c>
      <c r="E734" s="33" t="s">
        <v>256</v>
      </c>
      <c r="F734" s="33" t="s">
        <v>1</v>
      </c>
      <c r="G734" s="34">
        <f>G735+G742+G749+G752+G755</f>
        <v>461536058.08</v>
      </c>
      <c r="H734" s="34">
        <f>H735+H742+H749</f>
        <v>351362545.7</v>
      </c>
      <c r="I734" s="106"/>
    </row>
    <row r="735" spans="1:8" ht="63" outlineLevel="5">
      <c r="A735" s="36" t="s">
        <v>788</v>
      </c>
      <c r="B735" s="37" t="s">
        <v>715</v>
      </c>
      <c r="C735" s="37" t="s">
        <v>239</v>
      </c>
      <c r="D735" s="37" t="s">
        <v>5</v>
      </c>
      <c r="E735" s="37" t="s">
        <v>257</v>
      </c>
      <c r="F735" s="37" t="s">
        <v>1</v>
      </c>
      <c r="G735" s="38">
        <f>G736+G738+G740</f>
        <v>138171741.06000003</v>
      </c>
      <c r="H735" s="38">
        <f>H736+H738</f>
        <v>138159615.44000003</v>
      </c>
    </row>
    <row r="736" spans="1:8" ht="78.75" outlineLevel="6">
      <c r="A736" s="36" t="s">
        <v>465</v>
      </c>
      <c r="B736" s="37" t="s">
        <v>715</v>
      </c>
      <c r="C736" s="37" t="s">
        <v>239</v>
      </c>
      <c r="D736" s="37" t="s">
        <v>5</v>
      </c>
      <c r="E736" s="37" t="s">
        <v>258</v>
      </c>
      <c r="F736" s="37" t="s">
        <v>1</v>
      </c>
      <c r="G736" s="38">
        <f>G737</f>
        <v>230386.86</v>
      </c>
      <c r="H736" s="38">
        <f>H737</f>
        <v>230386.86</v>
      </c>
    </row>
    <row r="737" spans="1:8" ht="47.25" outlineLevel="7">
      <c r="A737" s="36" t="s">
        <v>692</v>
      </c>
      <c r="B737" s="37" t="s">
        <v>715</v>
      </c>
      <c r="C737" s="37" t="s">
        <v>239</v>
      </c>
      <c r="D737" s="37" t="s">
        <v>5</v>
      </c>
      <c r="E737" s="37" t="s">
        <v>258</v>
      </c>
      <c r="F737" s="37" t="s">
        <v>70</v>
      </c>
      <c r="G737" s="38">
        <v>230386.86</v>
      </c>
      <c r="H737" s="38">
        <f>G737</f>
        <v>230386.86</v>
      </c>
    </row>
    <row r="738" spans="1:8" ht="63" outlineLevel="6">
      <c r="A738" s="36" t="s">
        <v>468</v>
      </c>
      <c r="B738" s="37" t="s">
        <v>715</v>
      </c>
      <c r="C738" s="37" t="s">
        <v>239</v>
      </c>
      <c r="D738" s="37" t="s">
        <v>5</v>
      </c>
      <c r="E738" s="37" t="s">
        <v>259</v>
      </c>
      <c r="F738" s="37" t="s">
        <v>1</v>
      </c>
      <c r="G738" s="38">
        <f>G739</f>
        <v>137929228.58</v>
      </c>
      <c r="H738" s="38">
        <f>H739</f>
        <v>137929228.58</v>
      </c>
    </row>
    <row r="739" spans="1:8" ht="47.25" outlineLevel="7">
      <c r="A739" s="36" t="s">
        <v>692</v>
      </c>
      <c r="B739" s="37" t="s">
        <v>715</v>
      </c>
      <c r="C739" s="37" t="s">
        <v>239</v>
      </c>
      <c r="D739" s="37" t="s">
        <v>5</v>
      </c>
      <c r="E739" s="37" t="s">
        <v>259</v>
      </c>
      <c r="F739" s="37" t="s">
        <v>70</v>
      </c>
      <c r="G739" s="38">
        <f>140091428.58-2162200</f>
        <v>137929228.58</v>
      </c>
      <c r="H739" s="38">
        <f>G739</f>
        <v>137929228.58</v>
      </c>
    </row>
    <row r="740" spans="1:8" ht="78.75" outlineLevel="6">
      <c r="A740" s="36" t="s">
        <v>465</v>
      </c>
      <c r="B740" s="37" t="s">
        <v>715</v>
      </c>
      <c r="C740" s="37" t="s">
        <v>239</v>
      </c>
      <c r="D740" s="37" t="s">
        <v>5</v>
      </c>
      <c r="E740" s="37" t="s">
        <v>260</v>
      </c>
      <c r="F740" s="37" t="s">
        <v>1</v>
      </c>
      <c r="G740" s="38">
        <f>G741</f>
        <v>12125.62</v>
      </c>
      <c r="H740" s="38"/>
    </row>
    <row r="741" spans="1:8" ht="47.25" outlineLevel="7">
      <c r="A741" s="36" t="s">
        <v>692</v>
      </c>
      <c r="B741" s="37" t="s">
        <v>715</v>
      </c>
      <c r="C741" s="37" t="s">
        <v>239</v>
      </c>
      <c r="D741" s="37" t="s">
        <v>5</v>
      </c>
      <c r="E741" s="37" t="s">
        <v>260</v>
      </c>
      <c r="F741" s="37" t="s">
        <v>70</v>
      </c>
      <c r="G741" s="38">
        <v>12125.62</v>
      </c>
      <c r="H741" s="38"/>
    </row>
    <row r="742" spans="1:8" ht="63" outlineLevel="5">
      <c r="A742" s="36" t="s">
        <v>789</v>
      </c>
      <c r="B742" s="37" t="s">
        <v>715</v>
      </c>
      <c r="C742" s="37" t="s">
        <v>239</v>
      </c>
      <c r="D742" s="37" t="s">
        <v>5</v>
      </c>
      <c r="E742" s="37" t="s">
        <v>261</v>
      </c>
      <c r="F742" s="37" t="s">
        <v>1</v>
      </c>
      <c r="G742" s="38">
        <f>G743+G745+G747</f>
        <v>178529211.02</v>
      </c>
      <c r="H742" s="38">
        <f>H743+H745</f>
        <v>178515760.55</v>
      </c>
    </row>
    <row r="743" spans="1:8" ht="78.75" outlineLevel="6">
      <c r="A743" s="36" t="s">
        <v>465</v>
      </c>
      <c r="B743" s="37" t="s">
        <v>715</v>
      </c>
      <c r="C743" s="37" t="s">
        <v>239</v>
      </c>
      <c r="D743" s="37" t="s">
        <v>5</v>
      </c>
      <c r="E743" s="37" t="s">
        <v>262</v>
      </c>
      <c r="F743" s="37" t="s">
        <v>1</v>
      </c>
      <c r="G743" s="38">
        <f>G744</f>
        <v>255558.84</v>
      </c>
      <c r="H743" s="38">
        <f>H744</f>
        <v>255558.84</v>
      </c>
    </row>
    <row r="744" spans="1:8" ht="47.25" outlineLevel="7">
      <c r="A744" s="36" t="s">
        <v>692</v>
      </c>
      <c r="B744" s="37" t="s">
        <v>715</v>
      </c>
      <c r="C744" s="37" t="s">
        <v>239</v>
      </c>
      <c r="D744" s="37" t="s">
        <v>5</v>
      </c>
      <c r="E744" s="37" t="s">
        <v>262</v>
      </c>
      <c r="F744" s="37" t="s">
        <v>70</v>
      </c>
      <c r="G744" s="38">
        <v>255558.84</v>
      </c>
      <c r="H744" s="38">
        <f>G744</f>
        <v>255558.84</v>
      </c>
    </row>
    <row r="745" spans="1:8" ht="63" outlineLevel="6">
      <c r="A745" s="36" t="s">
        <v>468</v>
      </c>
      <c r="B745" s="37" t="s">
        <v>715</v>
      </c>
      <c r="C745" s="37" t="s">
        <v>239</v>
      </c>
      <c r="D745" s="37" t="s">
        <v>5</v>
      </c>
      <c r="E745" s="37" t="s">
        <v>263</v>
      </c>
      <c r="F745" s="37" t="s">
        <v>1</v>
      </c>
      <c r="G745" s="38">
        <f>G746</f>
        <v>178260201.71</v>
      </c>
      <c r="H745" s="38">
        <f>H746</f>
        <v>178260201.71</v>
      </c>
    </row>
    <row r="746" spans="1:8" ht="47.25" outlineLevel="7">
      <c r="A746" s="36" t="s">
        <v>692</v>
      </c>
      <c r="B746" s="37" t="s">
        <v>715</v>
      </c>
      <c r="C746" s="37" t="s">
        <v>239</v>
      </c>
      <c r="D746" s="37" t="s">
        <v>5</v>
      </c>
      <c r="E746" s="37" t="s">
        <v>263</v>
      </c>
      <c r="F746" s="37" t="s">
        <v>70</v>
      </c>
      <c r="G746" s="38">
        <v>178260201.71</v>
      </c>
      <c r="H746" s="38">
        <f>G746</f>
        <v>178260201.71</v>
      </c>
    </row>
    <row r="747" spans="1:8" ht="78.75" outlineLevel="6">
      <c r="A747" s="36" t="s">
        <v>465</v>
      </c>
      <c r="B747" s="37" t="s">
        <v>715</v>
      </c>
      <c r="C747" s="37" t="s">
        <v>239</v>
      </c>
      <c r="D747" s="37" t="s">
        <v>5</v>
      </c>
      <c r="E747" s="37" t="s">
        <v>264</v>
      </c>
      <c r="F747" s="37" t="s">
        <v>1</v>
      </c>
      <c r="G747" s="38">
        <f>G748</f>
        <v>13450.47</v>
      </c>
      <c r="H747" s="38"/>
    </row>
    <row r="748" spans="1:8" ht="47.25" outlineLevel="7">
      <c r="A748" s="36" t="s">
        <v>692</v>
      </c>
      <c r="B748" s="37" t="s">
        <v>715</v>
      </c>
      <c r="C748" s="37" t="s">
        <v>239</v>
      </c>
      <c r="D748" s="37" t="s">
        <v>5</v>
      </c>
      <c r="E748" s="37" t="s">
        <v>264</v>
      </c>
      <c r="F748" s="37" t="s">
        <v>70</v>
      </c>
      <c r="G748" s="38">
        <v>13450.47</v>
      </c>
      <c r="H748" s="38"/>
    </row>
    <row r="749" spans="1:8" ht="63" outlineLevel="5">
      <c r="A749" s="36" t="s">
        <v>790</v>
      </c>
      <c r="B749" s="37" t="s">
        <v>715</v>
      </c>
      <c r="C749" s="37" t="s">
        <v>239</v>
      </c>
      <c r="D749" s="37" t="s">
        <v>5</v>
      </c>
      <c r="E749" s="37" t="s">
        <v>265</v>
      </c>
      <c r="F749" s="37" t="s">
        <v>1</v>
      </c>
      <c r="G749" s="38">
        <f>G750</f>
        <v>34687169.71</v>
      </c>
      <c r="H749" s="38">
        <f>H750</f>
        <v>34687169.71</v>
      </c>
    </row>
    <row r="750" spans="1:8" ht="63" outlineLevel="6">
      <c r="A750" s="36" t="s">
        <v>468</v>
      </c>
      <c r="B750" s="37" t="s">
        <v>715</v>
      </c>
      <c r="C750" s="37" t="s">
        <v>239</v>
      </c>
      <c r="D750" s="37" t="s">
        <v>5</v>
      </c>
      <c r="E750" s="37" t="s">
        <v>266</v>
      </c>
      <c r="F750" s="37" t="s">
        <v>1</v>
      </c>
      <c r="G750" s="38">
        <f>G751</f>
        <v>34687169.71</v>
      </c>
      <c r="H750" s="38">
        <f>H751</f>
        <v>34687169.71</v>
      </c>
    </row>
    <row r="751" spans="1:8" ht="47.25" outlineLevel="7">
      <c r="A751" s="36" t="s">
        <v>692</v>
      </c>
      <c r="B751" s="37" t="s">
        <v>715</v>
      </c>
      <c r="C751" s="37" t="s">
        <v>239</v>
      </c>
      <c r="D751" s="37" t="s">
        <v>5</v>
      </c>
      <c r="E751" s="37" t="s">
        <v>266</v>
      </c>
      <c r="F751" s="37" t="s">
        <v>70</v>
      </c>
      <c r="G751" s="38">
        <v>34687169.71</v>
      </c>
      <c r="H751" s="38">
        <f>G751</f>
        <v>34687169.71</v>
      </c>
    </row>
    <row r="752" spans="1:8" ht="94.5" outlineLevel="5">
      <c r="A752" s="36" t="s">
        <v>791</v>
      </c>
      <c r="B752" s="37" t="s">
        <v>715</v>
      </c>
      <c r="C752" s="37" t="s">
        <v>239</v>
      </c>
      <c r="D752" s="37" t="s">
        <v>5</v>
      </c>
      <c r="E752" s="37" t="s">
        <v>267</v>
      </c>
      <c r="F752" s="37" t="s">
        <v>1</v>
      </c>
      <c r="G752" s="38">
        <f>G753</f>
        <v>103908566.72</v>
      </c>
      <c r="H752" s="38"/>
    </row>
    <row r="753" spans="1:8" ht="78.75" outlineLevel="6">
      <c r="A753" s="36" t="s">
        <v>443</v>
      </c>
      <c r="B753" s="37" t="s">
        <v>715</v>
      </c>
      <c r="C753" s="37" t="s">
        <v>239</v>
      </c>
      <c r="D753" s="37" t="s">
        <v>5</v>
      </c>
      <c r="E753" s="37" t="s">
        <v>268</v>
      </c>
      <c r="F753" s="37" t="s">
        <v>1</v>
      </c>
      <c r="G753" s="38">
        <f>G754</f>
        <v>103908566.72</v>
      </c>
      <c r="H753" s="38"/>
    </row>
    <row r="754" spans="1:8" ht="47.25" outlineLevel="7">
      <c r="A754" s="36" t="s">
        <v>692</v>
      </c>
      <c r="B754" s="37" t="s">
        <v>715</v>
      </c>
      <c r="C754" s="37" t="s">
        <v>239</v>
      </c>
      <c r="D754" s="37" t="s">
        <v>5</v>
      </c>
      <c r="E754" s="37" t="s">
        <v>268</v>
      </c>
      <c r="F754" s="37" t="s">
        <v>70</v>
      </c>
      <c r="G754" s="38">
        <f>101563041.91+2345524.81</f>
        <v>103908566.72</v>
      </c>
      <c r="H754" s="38"/>
    </row>
    <row r="755" spans="1:8" ht="31.5" outlineLevel="5">
      <c r="A755" s="36" t="s">
        <v>786</v>
      </c>
      <c r="B755" s="37" t="s">
        <v>715</v>
      </c>
      <c r="C755" s="37" t="s">
        <v>239</v>
      </c>
      <c r="D755" s="37" t="s">
        <v>5</v>
      </c>
      <c r="E755" s="37" t="s">
        <v>269</v>
      </c>
      <c r="F755" s="37" t="s">
        <v>1</v>
      </c>
      <c r="G755" s="38">
        <f>G756</f>
        <v>6239369.57</v>
      </c>
      <c r="H755" s="38"/>
    </row>
    <row r="756" spans="1:8" ht="78.75" outlineLevel="6">
      <c r="A756" s="36" t="s">
        <v>432</v>
      </c>
      <c r="B756" s="37" t="s">
        <v>715</v>
      </c>
      <c r="C756" s="37" t="s">
        <v>239</v>
      </c>
      <c r="D756" s="37" t="s">
        <v>5</v>
      </c>
      <c r="E756" s="37" t="s">
        <v>270</v>
      </c>
      <c r="F756" s="37" t="s">
        <v>1</v>
      </c>
      <c r="G756" s="38">
        <f>G757</f>
        <v>6239369.57</v>
      </c>
      <c r="H756" s="38"/>
    </row>
    <row r="757" spans="1:8" ht="47.25" outlineLevel="7">
      <c r="A757" s="36" t="s">
        <v>692</v>
      </c>
      <c r="B757" s="37" t="s">
        <v>715</v>
      </c>
      <c r="C757" s="37" t="s">
        <v>239</v>
      </c>
      <c r="D757" s="37" t="s">
        <v>5</v>
      </c>
      <c r="E757" s="37" t="s">
        <v>270</v>
      </c>
      <c r="F757" s="37" t="s">
        <v>70</v>
      </c>
      <c r="G757" s="38">
        <f>6857011-617641.43</f>
        <v>6239369.57</v>
      </c>
      <c r="H757" s="38"/>
    </row>
    <row r="758" spans="1:9" s="35" customFormat="1" ht="47.25" outlineLevel="4">
      <c r="A758" s="32" t="s">
        <v>637</v>
      </c>
      <c r="B758" s="33" t="s">
        <v>715</v>
      </c>
      <c r="C758" s="33" t="s">
        <v>239</v>
      </c>
      <c r="D758" s="33" t="s">
        <v>5</v>
      </c>
      <c r="E758" s="33" t="s">
        <v>249</v>
      </c>
      <c r="F758" s="33" t="s">
        <v>1</v>
      </c>
      <c r="G758" s="34">
        <f>G764+G759+G767</f>
        <v>8984211.74</v>
      </c>
      <c r="H758" s="34"/>
      <c r="I758" s="106"/>
    </row>
    <row r="759" spans="1:9" s="35" customFormat="1" ht="47.25" outlineLevel="4">
      <c r="A759" s="36" t="s">
        <v>585</v>
      </c>
      <c r="B759" s="37" t="s">
        <v>715</v>
      </c>
      <c r="C759" s="37" t="s">
        <v>239</v>
      </c>
      <c r="D759" s="37" t="s">
        <v>5</v>
      </c>
      <c r="E759" s="37" t="s">
        <v>415</v>
      </c>
      <c r="F759" s="37" t="s">
        <v>1</v>
      </c>
      <c r="G759" s="38">
        <f>G760+G762</f>
        <v>4618382.74</v>
      </c>
      <c r="H759" s="34"/>
      <c r="I759" s="106"/>
    </row>
    <row r="760" spans="1:9" s="35" customFormat="1" ht="31.5" outlineLevel="4">
      <c r="A760" s="36" t="s">
        <v>456</v>
      </c>
      <c r="B760" s="37" t="s">
        <v>715</v>
      </c>
      <c r="C760" s="37" t="s">
        <v>239</v>
      </c>
      <c r="D760" s="37" t="s">
        <v>5</v>
      </c>
      <c r="E760" s="37" t="s">
        <v>890</v>
      </c>
      <c r="F760" s="37" t="s">
        <v>1</v>
      </c>
      <c r="G760" s="38">
        <f>G761</f>
        <v>4566178.74</v>
      </c>
      <c r="H760" s="34"/>
      <c r="I760" s="106"/>
    </row>
    <row r="761" spans="1:9" s="35" customFormat="1" ht="47.25" outlineLevel="4">
      <c r="A761" s="36" t="s">
        <v>692</v>
      </c>
      <c r="B761" s="37" t="s">
        <v>715</v>
      </c>
      <c r="C761" s="37" t="s">
        <v>239</v>
      </c>
      <c r="D761" s="37" t="s">
        <v>5</v>
      </c>
      <c r="E761" s="37" t="s">
        <v>890</v>
      </c>
      <c r="F761" s="37" t="s">
        <v>70</v>
      </c>
      <c r="G761" s="38">
        <f>9786493.98-5543497.5+323182.26</f>
        <v>4566178.74</v>
      </c>
      <c r="H761" s="34"/>
      <c r="I761" s="106"/>
    </row>
    <row r="762" spans="1:9" s="35" customFormat="1" ht="31.5" outlineLevel="4">
      <c r="A762" s="36" t="s">
        <v>441</v>
      </c>
      <c r="B762" s="37" t="s">
        <v>715</v>
      </c>
      <c r="C762" s="37" t="s">
        <v>239</v>
      </c>
      <c r="D762" s="37" t="s">
        <v>5</v>
      </c>
      <c r="E762" s="37" t="s">
        <v>947</v>
      </c>
      <c r="F762" s="37" t="s">
        <v>1</v>
      </c>
      <c r="G762" s="38">
        <f>G763</f>
        <v>52204</v>
      </c>
      <c r="H762" s="34"/>
      <c r="I762" s="106"/>
    </row>
    <row r="763" spans="1:9" s="35" customFormat="1" ht="47.25" outlineLevel="4">
      <c r="A763" s="36" t="s">
        <v>692</v>
      </c>
      <c r="B763" s="37" t="s">
        <v>715</v>
      </c>
      <c r="C763" s="37" t="s">
        <v>239</v>
      </c>
      <c r="D763" s="37" t="s">
        <v>5</v>
      </c>
      <c r="E763" s="37" t="s">
        <v>947</v>
      </c>
      <c r="F763" s="37" t="s">
        <v>70</v>
      </c>
      <c r="G763" s="38">
        <f>52204</f>
        <v>52204</v>
      </c>
      <c r="H763" s="34"/>
      <c r="I763" s="106"/>
    </row>
    <row r="764" spans="1:8" ht="15.75" outlineLevel="5">
      <c r="A764" s="36" t="s">
        <v>847</v>
      </c>
      <c r="B764" s="37" t="s">
        <v>715</v>
      </c>
      <c r="C764" s="37" t="s">
        <v>239</v>
      </c>
      <c r="D764" s="37" t="s">
        <v>5</v>
      </c>
      <c r="E764" s="37" t="s">
        <v>271</v>
      </c>
      <c r="F764" s="37" t="s">
        <v>1</v>
      </c>
      <c r="G764" s="38">
        <f>G765</f>
        <v>3617636</v>
      </c>
      <c r="H764" s="38"/>
    </row>
    <row r="765" spans="1:8" ht="31.5" outlineLevel="6">
      <c r="A765" s="36" t="s">
        <v>441</v>
      </c>
      <c r="B765" s="37" t="s">
        <v>715</v>
      </c>
      <c r="C765" s="37" t="s">
        <v>239</v>
      </c>
      <c r="D765" s="37" t="s">
        <v>5</v>
      </c>
      <c r="E765" s="37" t="s">
        <v>272</v>
      </c>
      <c r="F765" s="37" t="s">
        <v>1</v>
      </c>
      <c r="G765" s="38">
        <f>G766</f>
        <v>3617636</v>
      </c>
      <c r="H765" s="38"/>
    </row>
    <row r="766" spans="1:8" ht="47.25" outlineLevel="7">
      <c r="A766" s="36" t="s">
        <v>692</v>
      </c>
      <c r="B766" s="37" t="s">
        <v>715</v>
      </c>
      <c r="C766" s="37" t="s">
        <v>239</v>
      </c>
      <c r="D766" s="37" t="s">
        <v>5</v>
      </c>
      <c r="E766" s="37" t="s">
        <v>272</v>
      </c>
      <c r="F766" s="37" t="s">
        <v>70</v>
      </c>
      <c r="G766" s="38">
        <v>3617636</v>
      </c>
      <c r="H766" s="38"/>
    </row>
    <row r="767" spans="1:8" ht="47.25" outlineLevel="7">
      <c r="A767" s="36" t="s">
        <v>563</v>
      </c>
      <c r="B767" s="37" t="s">
        <v>715</v>
      </c>
      <c r="C767" s="37" t="s">
        <v>239</v>
      </c>
      <c r="D767" s="37" t="s">
        <v>5</v>
      </c>
      <c r="E767" s="37" t="s">
        <v>254</v>
      </c>
      <c r="F767" s="37" t="s">
        <v>1</v>
      </c>
      <c r="G767" s="38">
        <f>G768+G770</f>
        <v>748193</v>
      </c>
      <c r="H767" s="38"/>
    </row>
    <row r="768" spans="1:8" ht="31.5" outlineLevel="7">
      <c r="A768" s="36" t="s">
        <v>456</v>
      </c>
      <c r="B768" s="37" t="s">
        <v>715</v>
      </c>
      <c r="C768" s="37" t="s">
        <v>239</v>
      </c>
      <c r="D768" s="37" t="s">
        <v>5</v>
      </c>
      <c r="E768" s="37" t="s">
        <v>416</v>
      </c>
      <c r="F768" s="37" t="s">
        <v>1</v>
      </c>
      <c r="G768" s="38">
        <f>G769</f>
        <v>645519.8200000001</v>
      </c>
      <c r="H768" s="38"/>
    </row>
    <row r="769" spans="1:8" ht="47.25" outlineLevel="7">
      <c r="A769" s="36" t="s">
        <v>692</v>
      </c>
      <c r="B769" s="37" t="s">
        <v>715</v>
      </c>
      <c r="C769" s="37" t="s">
        <v>239</v>
      </c>
      <c r="D769" s="37" t="s">
        <v>5</v>
      </c>
      <c r="E769" s="37" t="s">
        <v>416</v>
      </c>
      <c r="F769" s="37" t="s">
        <v>70</v>
      </c>
      <c r="G769" s="38">
        <f>843817-198297.18</f>
        <v>645519.8200000001</v>
      </c>
      <c r="H769" s="38"/>
    </row>
    <row r="770" spans="1:8" ht="31.5" outlineLevel="7">
      <c r="A770" s="36" t="s">
        <v>441</v>
      </c>
      <c r="B770" s="37" t="s">
        <v>715</v>
      </c>
      <c r="C770" s="37" t="s">
        <v>239</v>
      </c>
      <c r="D770" s="37" t="s">
        <v>5</v>
      </c>
      <c r="E770" s="37" t="s">
        <v>255</v>
      </c>
      <c r="F770" s="37" t="s">
        <v>1</v>
      </c>
      <c r="G770" s="38">
        <f>G771</f>
        <v>102673.18</v>
      </c>
      <c r="H770" s="38"/>
    </row>
    <row r="771" spans="1:8" ht="47.25" outlineLevel="7">
      <c r="A771" s="36" t="s">
        <v>692</v>
      </c>
      <c r="B771" s="37" t="s">
        <v>715</v>
      </c>
      <c r="C771" s="37" t="s">
        <v>239</v>
      </c>
      <c r="D771" s="37" t="s">
        <v>5</v>
      </c>
      <c r="E771" s="37" t="s">
        <v>255</v>
      </c>
      <c r="F771" s="37" t="s">
        <v>70</v>
      </c>
      <c r="G771" s="38">
        <f>102673.18</f>
        <v>102673.18</v>
      </c>
      <c r="H771" s="38"/>
    </row>
    <row r="772" spans="1:9" s="35" customFormat="1" ht="47.25" outlineLevel="3">
      <c r="A772" s="32" t="s">
        <v>655</v>
      </c>
      <c r="B772" s="33" t="s">
        <v>715</v>
      </c>
      <c r="C772" s="33" t="s">
        <v>239</v>
      </c>
      <c r="D772" s="33" t="s">
        <v>5</v>
      </c>
      <c r="E772" s="33" t="s">
        <v>90</v>
      </c>
      <c r="F772" s="33" t="s">
        <v>1</v>
      </c>
      <c r="G772" s="34">
        <f>G773</f>
        <v>1063952</v>
      </c>
      <c r="H772" s="34"/>
      <c r="I772" s="106"/>
    </row>
    <row r="773" spans="1:9" s="35" customFormat="1" ht="47.25" outlineLevel="4">
      <c r="A773" s="32" t="s">
        <v>620</v>
      </c>
      <c r="B773" s="33" t="s">
        <v>715</v>
      </c>
      <c r="C773" s="33" t="s">
        <v>239</v>
      </c>
      <c r="D773" s="33" t="s">
        <v>5</v>
      </c>
      <c r="E773" s="33" t="s">
        <v>91</v>
      </c>
      <c r="F773" s="33" t="s">
        <v>1</v>
      </c>
      <c r="G773" s="34">
        <f>G774</f>
        <v>1063952</v>
      </c>
      <c r="H773" s="34"/>
      <c r="I773" s="106"/>
    </row>
    <row r="774" spans="1:8" ht="31.5" outlineLevel="5">
      <c r="A774" s="36" t="s">
        <v>734</v>
      </c>
      <c r="B774" s="37" t="s">
        <v>715</v>
      </c>
      <c r="C774" s="37" t="s">
        <v>239</v>
      </c>
      <c r="D774" s="37" t="s">
        <v>5</v>
      </c>
      <c r="E774" s="37" t="s">
        <v>100</v>
      </c>
      <c r="F774" s="37" t="s">
        <v>1</v>
      </c>
      <c r="G774" s="38">
        <f>G775</f>
        <v>1063952</v>
      </c>
      <c r="H774" s="38"/>
    </row>
    <row r="775" spans="1:8" ht="31.5" outlineLevel="6">
      <c r="A775" s="36" t="s">
        <v>441</v>
      </c>
      <c r="B775" s="37" t="s">
        <v>715</v>
      </c>
      <c r="C775" s="37" t="s">
        <v>239</v>
      </c>
      <c r="D775" s="37" t="s">
        <v>5</v>
      </c>
      <c r="E775" s="37" t="s">
        <v>101</v>
      </c>
      <c r="F775" s="37" t="s">
        <v>1</v>
      </c>
      <c r="G775" s="38">
        <f>G776</f>
        <v>1063952</v>
      </c>
      <c r="H775" s="38"/>
    </row>
    <row r="776" spans="1:8" ht="47.25" outlineLevel="7">
      <c r="A776" s="36" t="s">
        <v>692</v>
      </c>
      <c r="B776" s="37" t="s">
        <v>715</v>
      </c>
      <c r="C776" s="37" t="s">
        <v>239</v>
      </c>
      <c r="D776" s="37" t="s">
        <v>5</v>
      </c>
      <c r="E776" s="37" t="s">
        <v>101</v>
      </c>
      <c r="F776" s="37" t="s">
        <v>70</v>
      </c>
      <c r="G776" s="38">
        <f>963400+20000+80552</f>
        <v>1063952</v>
      </c>
      <c r="H776" s="38"/>
    </row>
    <row r="777" spans="1:9" s="35" customFormat="1" ht="15.75" outlineLevel="2">
      <c r="A777" s="32" t="s">
        <v>678</v>
      </c>
      <c r="B777" s="33" t="s">
        <v>715</v>
      </c>
      <c r="C777" s="33" t="s">
        <v>239</v>
      </c>
      <c r="D777" s="33" t="s">
        <v>14</v>
      </c>
      <c r="E777" s="33" t="s">
        <v>4</v>
      </c>
      <c r="F777" s="33" t="s">
        <v>1</v>
      </c>
      <c r="G777" s="34">
        <f>G778+G802</f>
        <v>212401439.35</v>
      </c>
      <c r="H777" s="34">
        <f>H778</f>
        <v>5986202.630000001</v>
      </c>
      <c r="I777" s="106"/>
    </row>
    <row r="778" spans="1:9" s="35" customFormat="1" ht="47.25" outlineLevel="3">
      <c r="A778" s="32" t="s">
        <v>653</v>
      </c>
      <c r="B778" s="33" t="s">
        <v>715</v>
      </c>
      <c r="C778" s="33" t="s">
        <v>239</v>
      </c>
      <c r="D778" s="33" t="s">
        <v>14</v>
      </c>
      <c r="E778" s="33" t="s">
        <v>23</v>
      </c>
      <c r="F778" s="33" t="s">
        <v>1</v>
      </c>
      <c r="G778" s="34">
        <f>G779+G790</f>
        <v>211079989.35</v>
      </c>
      <c r="H778" s="34">
        <f>H779</f>
        <v>5986202.630000001</v>
      </c>
      <c r="I778" s="106"/>
    </row>
    <row r="779" spans="1:9" s="35" customFormat="1" ht="63" outlineLevel="4">
      <c r="A779" s="32" t="s">
        <v>638</v>
      </c>
      <c r="B779" s="33" t="s">
        <v>715</v>
      </c>
      <c r="C779" s="33" t="s">
        <v>239</v>
      </c>
      <c r="D779" s="33" t="s">
        <v>14</v>
      </c>
      <c r="E779" s="33" t="s">
        <v>256</v>
      </c>
      <c r="F779" s="33" t="s">
        <v>1</v>
      </c>
      <c r="G779" s="34">
        <f>G780+G787</f>
        <v>209074567.15</v>
      </c>
      <c r="H779" s="34">
        <f>H780</f>
        <v>5986202.630000001</v>
      </c>
      <c r="I779" s="106"/>
    </row>
    <row r="780" spans="1:8" ht="47.25" outlineLevel="5">
      <c r="A780" s="36" t="s">
        <v>792</v>
      </c>
      <c r="B780" s="37" t="s">
        <v>715</v>
      </c>
      <c r="C780" s="37" t="s">
        <v>239</v>
      </c>
      <c r="D780" s="37" t="s">
        <v>14</v>
      </c>
      <c r="E780" s="37" t="s">
        <v>273</v>
      </c>
      <c r="F780" s="37" t="s">
        <v>1</v>
      </c>
      <c r="G780" s="38">
        <f>G781+G783+G785</f>
        <v>205902473.75</v>
      </c>
      <c r="H780" s="38">
        <f>H783</f>
        <v>5986202.630000001</v>
      </c>
    </row>
    <row r="781" spans="1:8" ht="78.75" outlineLevel="6">
      <c r="A781" s="36" t="s">
        <v>443</v>
      </c>
      <c r="B781" s="37" t="s">
        <v>715</v>
      </c>
      <c r="C781" s="37" t="s">
        <v>239</v>
      </c>
      <c r="D781" s="37" t="s">
        <v>14</v>
      </c>
      <c r="E781" s="37" t="s">
        <v>274</v>
      </c>
      <c r="F781" s="37" t="s">
        <v>1</v>
      </c>
      <c r="G781" s="38">
        <f>G782</f>
        <v>196950490</v>
      </c>
      <c r="H781" s="38"/>
    </row>
    <row r="782" spans="1:8" ht="47.25" outlineLevel="7">
      <c r="A782" s="36" t="s">
        <v>692</v>
      </c>
      <c r="B782" s="37" t="s">
        <v>715</v>
      </c>
      <c r="C782" s="37" t="s">
        <v>239</v>
      </c>
      <c r="D782" s="37" t="s">
        <v>14</v>
      </c>
      <c r="E782" s="37" t="s">
        <v>274</v>
      </c>
      <c r="F782" s="37" t="s">
        <v>70</v>
      </c>
      <c r="G782" s="38">
        <f>201050490-3100000-1000000</f>
        <v>196950490</v>
      </c>
      <c r="H782" s="38"/>
    </row>
    <row r="783" spans="1:8" ht="78.75" outlineLevel="6">
      <c r="A783" s="36" t="s">
        <v>465</v>
      </c>
      <c r="B783" s="37" t="s">
        <v>715</v>
      </c>
      <c r="C783" s="37" t="s">
        <v>239</v>
      </c>
      <c r="D783" s="37" t="s">
        <v>14</v>
      </c>
      <c r="E783" s="37" t="s">
        <v>275</v>
      </c>
      <c r="F783" s="37" t="s">
        <v>1</v>
      </c>
      <c r="G783" s="38">
        <f>G784</f>
        <v>5986202.630000001</v>
      </c>
      <c r="H783" s="38">
        <f>H784</f>
        <v>5986202.630000001</v>
      </c>
    </row>
    <row r="784" spans="1:8" ht="47.25" outlineLevel="7">
      <c r="A784" s="36" t="s">
        <v>692</v>
      </c>
      <c r="B784" s="37" t="s">
        <v>715</v>
      </c>
      <c r="C784" s="37" t="s">
        <v>239</v>
      </c>
      <c r="D784" s="37" t="s">
        <v>14</v>
      </c>
      <c r="E784" s="37" t="s">
        <v>275</v>
      </c>
      <c r="F784" s="37" t="s">
        <v>70</v>
      </c>
      <c r="G784" s="38">
        <f>5845011.44+65165.16+76026.03</f>
        <v>5986202.630000001</v>
      </c>
      <c r="H784" s="38">
        <f>G784</f>
        <v>5986202.630000001</v>
      </c>
    </row>
    <row r="785" spans="1:8" ht="78.75" outlineLevel="6">
      <c r="A785" s="36" t="s">
        <v>465</v>
      </c>
      <c r="B785" s="37" t="s">
        <v>715</v>
      </c>
      <c r="C785" s="37" t="s">
        <v>239</v>
      </c>
      <c r="D785" s="37" t="s">
        <v>14</v>
      </c>
      <c r="E785" s="37" t="s">
        <v>276</v>
      </c>
      <c r="F785" s="37" t="s">
        <v>1</v>
      </c>
      <c r="G785" s="38">
        <f>G786</f>
        <v>2965781.12</v>
      </c>
      <c r="H785" s="38"/>
    </row>
    <row r="786" spans="1:8" ht="47.25" outlineLevel="7">
      <c r="A786" s="36" t="s">
        <v>692</v>
      </c>
      <c r="B786" s="37" t="s">
        <v>715</v>
      </c>
      <c r="C786" s="37" t="s">
        <v>239</v>
      </c>
      <c r="D786" s="37" t="s">
        <v>14</v>
      </c>
      <c r="E786" s="37" t="s">
        <v>276</v>
      </c>
      <c r="F786" s="37" t="s">
        <v>70</v>
      </c>
      <c r="G786" s="38">
        <f>2958350+3429.75+4001.37</f>
        <v>2965781.12</v>
      </c>
      <c r="H786" s="38"/>
    </row>
    <row r="787" spans="1:8" ht="31.5" outlineLevel="5">
      <c r="A787" s="36" t="s">
        <v>786</v>
      </c>
      <c r="B787" s="37" t="s">
        <v>715</v>
      </c>
      <c r="C787" s="37" t="s">
        <v>239</v>
      </c>
      <c r="D787" s="37" t="s">
        <v>14</v>
      </c>
      <c r="E787" s="37" t="s">
        <v>277</v>
      </c>
      <c r="F787" s="37" t="s">
        <v>1</v>
      </c>
      <c r="G787" s="38">
        <f>G788</f>
        <v>3172093.4</v>
      </c>
      <c r="H787" s="38"/>
    </row>
    <row r="788" spans="1:8" ht="78.75" outlineLevel="6">
      <c r="A788" s="36" t="s">
        <v>432</v>
      </c>
      <c r="B788" s="37" t="s">
        <v>715</v>
      </c>
      <c r="C788" s="37" t="s">
        <v>239</v>
      </c>
      <c r="D788" s="37" t="s">
        <v>14</v>
      </c>
      <c r="E788" s="37" t="s">
        <v>278</v>
      </c>
      <c r="F788" s="37" t="s">
        <v>1</v>
      </c>
      <c r="G788" s="38">
        <f>G789</f>
        <v>3172093.4</v>
      </c>
      <c r="H788" s="38"/>
    </row>
    <row r="789" spans="1:8" ht="47.25" outlineLevel="7">
      <c r="A789" s="36" t="s">
        <v>692</v>
      </c>
      <c r="B789" s="37" t="s">
        <v>715</v>
      </c>
      <c r="C789" s="37" t="s">
        <v>239</v>
      </c>
      <c r="D789" s="37" t="s">
        <v>14</v>
      </c>
      <c r="E789" s="37" t="s">
        <v>278</v>
      </c>
      <c r="F789" s="37" t="s">
        <v>70</v>
      </c>
      <c r="G789" s="38">
        <f>3422320-94407.42-155819.18</f>
        <v>3172093.4</v>
      </c>
      <c r="H789" s="38"/>
    </row>
    <row r="790" spans="1:9" s="35" customFormat="1" ht="47.25" outlineLevel="4">
      <c r="A790" s="32" t="s">
        <v>637</v>
      </c>
      <c r="B790" s="33" t="s">
        <v>715</v>
      </c>
      <c r="C790" s="33" t="s">
        <v>239</v>
      </c>
      <c r="D790" s="33" t="s">
        <v>14</v>
      </c>
      <c r="E790" s="33" t="s">
        <v>249</v>
      </c>
      <c r="F790" s="33" t="s">
        <v>1</v>
      </c>
      <c r="G790" s="34">
        <f>G791+G799+G794</f>
        <v>2005422.2</v>
      </c>
      <c r="H790" s="34"/>
      <c r="I790" s="106"/>
    </row>
    <row r="791" spans="1:8" ht="31.5" outlineLevel="5">
      <c r="A791" s="36" t="s">
        <v>793</v>
      </c>
      <c r="B791" s="37" t="s">
        <v>715</v>
      </c>
      <c r="C791" s="37" t="s">
        <v>239</v>
      </c>
      <c r="D791" s="37" t="s">
        <v>14</v>
      </c>
      <c r="E791" s="37" t="s">
        <v>252</v>
      </c>
      <c r="F791" s="37" t="s">
        <v>1</v>
      </c>
      <c r="G791" s="38">
        <f>G792</f>
        <v>464000</v>
      </c>
      <c r="H791" s="38"/>
    </row>
    <row r="792" spans="1:8" ht="31.5" outlineLevel="6">
      <c r="A792" s="36" t="s">
        <v>441</v>
      </c>
      <c r="B792" s="37" t="s">
        <v>715</v>
      </c>
      <c r="C792" s="37" t="s">
        <v>239</v>
      </c>
      <c r="D792" s="37" t="s">
        <v>14</v>
      </c>
      <c r="E792" s="37" t="s">
        <v>253</v>
      </c>
      <c r="F792" s="37" t="s">
        <v>1</v>
      </c>
      <c r="G792" s="38">
        <f>G793</f>
        <v>464000</v>
      </c>
      <c r="H792" s="38"/>
    </row>
    <row r="793" spans="1:8" ht="47.25" outlineLevel="7">
      <c r="A793" s="36" t="s">
        <v>692</v>
      </c>
      <c r="B793" s="37" t="s">
        <v>715</v>
      </c>
      <c r="C793" s="37" t="s">
        <v>239</v>
      </c>
      <c r="D793" s="37" t="s">
        <v>14</v>
      </c>
      <c r="E793" s="37" t="s">
        <v>253</v>
      </c>
      <c r="F793" s="37" t="s">
        <v>70</v>
      </c>
      <c r="G793" s="38">
        <v>464000</v>
      </c>
      <c r="H793" s="38"/>
    </row>
    <row r="794" spans="1:8" ht="47.25" outlineLevel="7">
      <c r="A794" s="36" t="s">
        <v>585</v>
      </c>
      <c r="B794" s="37" t="s">
        <v>715</v>
      </c>
      <c r="C794" s="37" t="s">
        <v>239</v>
      </c>
      <c r="D794" s="37" t="s">
        <v>14</v>
      </c>
      <c r="E794" s="37" t="s">
        <v>415</v>
      </c>
      <c r="F794" s="37" t="s">
        <v>1</v>
      </c>
      <c r="G794" s="38">
        <f>G795+G797</f>
        <v>945205.2</v>
      </c>
      <c r="H794" s="38"/>
    </row>
    <row r="795" spans="1:8" ht="31.5" outlineLevel="7">
      <c r="A795" s="36" t="s">
        <v>456</v>
      </c>
      <c r="B795" s="37" t="s">
        <v>715</v>
      </c>
      <c r="C795" s="37" t="s">
        <v>239</v>
      </c>
      <c r="D795" s="37" t="s">
        <v>14</v>
      </c>
      <c r="E795" s="37" t="s">
        <v>890</v>
      </c>
      <c r="F795" s="37" t="s">
        <v>1</v>
      </c>
      <c r="G795" s="38">
        <f>G796</f>
        <v>475205.2</v>
      </c>
      <c r="H795" s="38"/>
    </row>
    <row r="796" spans="1:8" ht="47.25" outlineLevel="7">
      <c r="A796" s="36" t="s">
        <v>692</v>
      </c>
      <c r="B796" s="37" t="s">
        <v>715</v>
      </c>
      <c r="C796" s="37" t="s">
        <v>239</v>
      </c>
      <c r="D796" s="37" t="s">
        <v>14</v>
      </c>
      <c r="E796" s="37" t="s">
        <v>890</v>
      </c>
      <c r="F796" s="37" t="s">
        <v>70</v>
      </c>
      <c r="G796" s="38">
        <f>207125+268080.2</f>
        <v>475205.2</v>
      </c>
      <c r="H796" s="38"/>
    </row>
    <row r="797" spans="1:8" ht="31.5" outlineLevel="7">
      <c r="A797" s="36" t="s">
        <v>441</v>
      </c>
      <c r="B797" s="37" t="s">
        <v>715</v>
      </c>
      <c r="C797" s="37" t="s">
        <v>239</v>
      </c>
      <c r="D797" s="37" t="s">
        <v>14</v>
      </c>
      <c r="E797" s="37" t="s">
        <v>947</v>
      </c>
      <c r="F797" s="37" t="s">
        <v>1</v>
      </c>
      <c r="G797" s="38">
        <f>G798</f>
        <v>470000</v>
      </c>
      <c r="H797" s="38"/>
    </row>
    <row r="798" spans="1:8" ht="47.25" outlineLevel="7">
      <c r="A798" s="36" t="s">
        <v>692</v>
      </c>
      <c r="B798" s="37" t="s">
        <v>715</v>
      </c>
      <c r="C798" s="37" t="s">
        <v>239</v>
      </c>
      <c r="D798" s="37" t="s">
        <v>14</v>
      </c>
      <c r="E798" s="37" t="s">
        <v>947</v>
      </c>
      <c r="F798" s="37" t="s">
        <v>70</v>
      </c>
      <c r="G798" s="38">
        <f>470000</f>
        <v>470000</v>
      </c>
      <c r="H798" s="38"/>
    </row>
    <row r="799" spans="1:8" ht="47.25" outlineLevel="5">
      <c r="A799" s="36" t="s">
        <v>787</v>
      </c>
      <c r="B799" s="37" t="s">
        <v>715</v>
      </c>
      <c r="C799" s="37" t="s">
        <v>239</v>
      </c>
      <c r="D799" s="37" t="s">
        <v>14</v>
      </c>
      <c r="E799" s="37" t="s">
        <v>254</v>
      </c>
      <c r="F799" s="37" t="s">
        <v>1</v>
      </c>
      <c r="G799" s="38">
        <f>G800</f>
        <v>596217</v>
      </c>
      <c r="H799" s="38"/>
    </row>
    <row r="800" spans="1:8" ht="31.5" outlineLevel="6">
      <c r="A800" s="36" t="s">
        <v>441</v>
      </c>
      <c r="B800" s="37" t="s">
        <v>715</v>
      </c>
      <c r="C800" s="37" t="s">
        <v>239</v>
      </c>
      <c r="D800" s="37" t="s">
        <v>14</v>
      </c>
      <c r="E800" s="37" t="s">
        <v>255</v>
      </c>
      <c r="F800" s="37" t="s">
        <v>1</v>
      </c>
      <c r="G800" s="38">
        <f>G801</f>
        <v>596217</v>
      </c>
      <c r="H800" s="38"/>
    </row>
    <row r="801" spans="1:8" ht="47.25" outlineLevel="7">
      <c r="A801" s="36" t="s">
        <v>692</v>
      </c>
      <c r="B801" s="37" t="s">
        <v>715</v>
      </c>
      <c r="C801" s="37" t="s">
        <v>239</v>
      </c>
      <c r="D801" s="37" t="s">
        <v>14</v>
      </c>
      <c r="E801" s="37" t="s">
        <v>255</v>
      </c>
      <c r="F801" s="37" t="s">
        <v>70</v>
      </c>
      <c r="G801" s="38">
        <f>469737+126480</f>
        <v>596217</v>
      </c>
      <c r="H801" s="38"/>
    </row>
    <row r="802" spans="1:9" s="35" customFormat="1" ht="47.25" outlineLevel="3">
      <c r="A802" s="32" t="s">
        <v>655</v>
      </c>
      <c r="B802" s="33" t="s">
        <v>715</v>
      </c>
      <c r="C802" s="33" t="s">
        <v>239</v>
      </c>
      <c r="D802" s="33" t="s">
        <v>14</v>
      </c>
      <c r="E802" s="33" t="s">
        <v>90</v>
      </c>
      <c r="F802" s="33" t="s">
        <v>1</v>
      </c>
      <c r="G802" s="34">
        <f>G803</f>
        <v>1321450</v>
      </c>
      <c r="H802" s="34"/>
      <c r="I802" s="106"/>
    </row>
    <row r="803" spans="1:9" s="35" customFormat="1" ht="47.25" outlineLevel="4">
      <c r="A803" s="32" t="s">
        <v>620</v>
      </c>
      <c r="B803" s="33" t="s">
        <v>715</v>
      </c>
      <c r="C803" s="33" t="s">
        <v>239</v>
      </c>
      <c r="D803" s="33" t="s">
        <v>14</v>
      </c>
      <c r="E803" s="33" t="s">
        <v>91</v>
      </c>
      <c r="F803" s="33" t="s">
        <v>1</v>
      </c>
      <c r="G803" s="34">
        <f>G804</f>
        <v>1321450</v>
      </c>
      <c r="H803" s="34"/>
      <c r="I803" s="106"/>
    </row>
    <row r="804" spans="1:8" ht="31.5" outlineLevel="5">
      <c r="A804" s="36" t="s">
        <v>734</v>
      </c>
      <c r="B804" s="37" t="s">
        <v>715</v>
      </c>
      <c r="C804" s="37" t="s">
        <v>239</v>
      </c>
      <c r="D804" s="37" t="s">
        <v>14</v>
      </c>
      <c r="E804" s="37" t="s">
        <v>100</v>
      </c>
      <c r="F804" s="37" t="s">
        <v>1</v>
      </c>
      <c r="G804" s="38">
        <f>G805</f>
        <v>1321450</v>
      </c>
      <c r="H804" s="38"/>
    </row>
    <row r="805" spans="1:8" ht="31.5" outlineLevel="6">
      <c r="A805" s="36" t="s">
        <v>441</v>
      </c>
      <c r="B805" s="37" t="s">
        <v>715</v>
      </c>
      <c r="C805" s="37" t="s">
        <v>239</v>
      </c>
      <c r="D805" s="37" t="s">
        <v>14</v>
      </c>
      <c r="E805" s="37" t="s">
        <v>101</v>
      </c>
      <c r="F805" s="37" t="s">
        <v>1</v>
      </c>
      <c r="G805" s="38">
        <f>G806</f>
        <v>1321450</v>
      </c>
      <c r="H805" s="38"/>
    </row>
    <row r="806" spans="1:8" ht="47.25" outlineLevel="7">
      <c r="A806" s="36" t="s">
        <v>692</v>
      </c>
      <c r="B806" s="37" t="s">
        <v>715</v>
      </c>
      <c r="C806" s="37" t="s">
        <v>239</v>
      </c>
      <c r="D806" s="37" t="s">
        <v>14</v>
      </c>
      <c r="E806" s="37" t="s">
        <v>101</v>
      </c>
      <c r="F806" s="37" t="s">
        <v>70</v>
      </c>
      <c r="G806" s="38">
        <v>1321450</v>
      </c>
      <c r="H806" s="38"/>
    </row>
    <row r="807" spans="1:9" s="35" customFormat="1" ht="15.75" outlineLevel="2">
      <c r="A807" s="32" t="s">
        <v>679</v>
      </c>
      <c r="B807" s="33" t="s">
        <v>715</v>
      </c>
      <c r="C807" s="33" t="s">
        <v>239</v>
      </c>
      <c r="D807" s="33" t="s">
        <v>239</v>
      </c>
      <c r="E807" s="33" t="s">
        <v>4</v>
      </c>
      <c r="F807" s="33" t="s">
        <v>1</v>
      </c>
      <c r="G807" s="34">
        <f>G808</f>
        <v>12712790</v>
      </c>
      <c r="H807" s="34">
        <f>H808</f>
        <v>3866700</v>
      </c>
      <c r="I807" s="106"/>
    </row>
    <row r="808" spans="1:9" s="35" customFormat="1" ht="47.25" outlineLevel="3">
      <c r="A808" s="32" t="s">
        <v>653</v>
      </c>
      <c r="B808" s="33" t="s">
        <v>715</v>
      </c>
      <c r="C808" s="33" t="s">
        <v>239</v>
      </c>
      <c r="D808" s="33" t="s">
        <v>239</v>
      </c>
      <c r="E808" s="33" t="s">
        <v>23</v>
      </c>
      <c r="F808" s="33" t="s">
        <v>1</v>
      </c>
      <c r="G808" s="34">
        <f>G809</f>
        <v>12712790</v>
      </c>
      <c r="H808" s="34">
        <f>H809</f>
        <v>3866700</v>
      </c>
      <c r="I808" s="106"/>
    </row>
    <row r="809" spans="1:9" s="35" customFormat="1" ht="47.25" outlineLevel="4">
      <c r="A809" s="32" t="s">
        <v>640</v>
      </c>
      <c r="B809" s="33" t="s">
        <v>715</v>
      </c>
      <c r="C809" s="33" t="s">
        <v>239</v>
      </c>
      <c r="D809" s="33" t="s">
        <v>239</v>
      </c>
      <c r="E809" s="33" t="s">
        <v>291</v>
      </c>
      <c r="F809" s="33" t="s">
        <v>1</v>
      </c>
      <c r="G809" s="34">
        <f>G810+G817</f>
        <v>12712790</v>
      </c>
      <c r="H809" s="34">
        <f>H810+H817</f>
        <v>3866700</v>
      </c>
      <c r="I809" s="106"/>
    </row>
    <row r="810" spans="1:8" ht="31.5" outlineLevel="5">
      <c r="A810" s="36" t="s">
        <v>794</v>
      </c>
      <c r="B810" s="37" t="s">
        <v>715</v>
      </c>
      <c r="C810" s="37" t="s">
        <v>239</v>
      </c>
      <c r="D810" s="37" t="s">
        <v>239</v>
      </c>
      <c r="E810" s="37" t="s">
        <v>292</v>
      </c>
      <c r="F810" s="37" t="s">
        <v>1</v>
      </c>
      <c r="G810" s="38">
        <f>G811+G815+G813</f>
        <v>7574557.2</v>
      </c>
      <c r="H810" s="38">
        <f>H811+H815+H813</f>
        <v>752400</v>
      </c>
    </row>
    <row r="811" spans="1:8" ht="31.5" outlineLevel="6">
      <c r="A811" s="36" t="s">
        <v>441</v>
      </c>
      <c r="B811" s="37" t="s">
        <v>715</v>
      </c>
      <c r="C811" s="37" t="s">
        <v>239</v>
      </c>
      <c r="D811" s="37" t="s">
        <v>239</v>
      </c>
      <c r="E811" s="37" t="s">
        <v>293</v>
      </c>
      <c r="F811" s="37" t="s">
        <v>1</v>
      </c>
      <c r="G811" s="38">
        <f>G812</f>
        <v>6782557.2</v>
      </c>
      <c r="H811" s="38"/>
    </row>
    <row r="812" spans="1:8" ht="47.25" outlineLevel="7">
      <c r="A812" s="36" t="s">
        <v>692</v>
      </c>
      <c r="B812" s="37" t="s">
        <v>715</v>
      </c>
      <c r="C812" s="37" t="s">
        <v>239</v>
      </c>
      <c r="D812" s="37" t="s">
        <v>239</v>
      </c>
      <c r="E812" s="37" t="s">
        <v>293</v>
      </c>
      <c r="F812" s="37" t="s">
        <v>70</v>
      </c>
      <c r="G812" s="38">
        <f>6822157.2-39600</f>
        <v>6782557.2</v>
      </c>
      <c r="H812" s="38"/>
    </row>
    <row r="813" spans="1:8" ht="47.25" outlineLevel="7">
      <c r="A813" s="103" t="s">
        <v>864</v>
      </c>
      <c r="B813" s="104" t="s">
        <v>715</v>
      </c>
      <c r="C813" s="104" t="s">
        <v>239</v>
      </c>
      <c r="D813" s="104" t="s">
        <v>239</v>
      </c>
      <c r="E813" s="104" t="s">
        <v>878</v>
      </c>
      <c r="F813" s="104" t="s">
        <v>1</v>
      </c>
      <c r="G813" s="105">
        <f>G814</f>
        <v>752400</v>
      </c>
      <c r="H813" s="105">
        <f>G813</f>
        <v>752400</v>
      </c>
    </row>
    <row r="814" spans="1:8" ht="47.25" outlineLevel="7">
      <c r="A814" s="103" t="s">
        <v>692</v>
      </c>
      <c r="B814" s="104" t="s">
        <v>715</v>
      </c>
      <c r="C814" s="104" t="s">
        <v>239</v>
      </c>
      <c r="D814" s="104" t="s">
        <v>239</v>
      </c>
      <c r="E814" s="104" t="s">
        <v>878</v>
      </c>
      <c r="F814" s="104" t="s">
        <v>70</v>
      </c>
      <c r="G814" s="105">
        <v>752400</v>
      </c>
      <c r="H814" s="105">
        <f>G814</f>
        <v>752400</v>
      </c>
    </row>
    <row r="815" spans="1:8" ht="54.75" customHeight="1" outlineLevel="7">
      <c r="A815" s="103" t="s">
        <v>864</v>
      </c>
      <c r="B815" s="104" t="s">
        <v>715</v>
      </c>
      <c r="C815" s="104" t="s">
        <v>239</v>
      </c>
      <c r="D815" s="104" t="s">
        <v>239</v>
      </c>
      <c r="E815" s="104" t="s">
        <v>877</v>
      </c>
      <c r="F815" s="104" t="s">
        <v>1</v>
      </c>
      <c r="G815" s="105">
        <f>G816</f>
        <v>39600</v>
      </c>
      <c r="H815" s="105"/>
    </row>
    <row r="816" spans="1:8" ht="47.25" outlineLevel="7">
      <c r="A816" s="103" t="s">
        <v>692</v>
      </c>
      <c r="B816" s="104" t="s">
        <v>715</v>
      </c>
      <c r="C816" s="104" t="s">
        <v>239</v>
      </c>
      <c r="D816" s="104" t="s">
        <v>239</v>
      </c>
      <c r="E816" s="104" t="s">
        <v>877</v>
      </c>
      <c r="F816" s="104" t="s">
        <v>70</v>
      </c>
      <c r="G816" s="105">
        <v>39600</v>
      </c>
      <c r="H816" s="105"/>
    </row>
    <row r="817" spans="1:8" ht="47.25" outlineLevel="7">
      <c r="A817" s="103" t="s">
        <v>573</v>
      </c>
      <c r="B817" s="104" t="s">
        <v>715</v>
      </c>
      <c r="C817" s="104" t="s">
        <v>239</v>
      </c>
      <c r="D817" s="104" t="s">
        <v>239</v>
      </c>
      <c r="E817" s="104" t="s">
        <v>294</v>
      </c>
      <c r="F817" s="104" t="s">
        <v>1</v>
      </c>
      <c r="G817" s="105">
        <f>G818+G820</f>
        <v>5138232.8</v>
      </c>
      <c r="H817" s="105">
        <f>H818+H820</f>
        <v>3114300</v>
      </c>
    </row>
    <row r="818" spans="1:8" ht="47.25" outlineLevel="6">
      <c r="A818" s="36" t="s">
        <v>848</v>
      </c>
      <c r="B818" s="37" t="s">
        <v>715</v>
      </c>
      <c r="C818" s="37" t="s">
        <v>239</v>
      </c>
      <c r="D818" s="37" t="s">
        <v>239</v>
      </c>
      <c r="E818" s="37" t="s">
        <v>295</v>
      </c>
      <c r="F818" s="37" t="s">
        <v>1</v>
      </c>
      <c r="G818" s="38">
        <f>G819</f>
        <v>3114300</v>
      </c>
      <c r="H818" s="38">
        <f>H819</f>
        <v>3114300</v>
      </c>
    </row>
    <row r="819" spans="1:8" ht="47.25" outlineLevel="7">
      <c r="A819" s="36" t="s">
        <v>692</v>
      </c>
      <c r="B819" s="37" t="s">
        <v>715</v>
      </c>
      <c r="C819" s="37" t="s">
        <v>239</v>
      </c>
      <c r="D819" s="37" t="s">
        <v>239</v>
      </c>
      <c r="E819" s="37" t="s">
        <v>295</v>
      </c>
      <c r="F819" s="37" t="s">
        <v>70</v>
      </c>
      <c r="G819" s="38">
        <f>3866700-752400</f>
        <v>3114300</v>
      </c>
      <c r="H819" s="38">
        <f>G819</f>
        <v>3114300</v>
      </c>
    </row>
    <row r="820" spans="1:8" ht="47.25" outlineLevel="6">
      <c r="A820" s="36" t="s">
        <v>848</v>
      </c>
      <c r="B820" s="37" t="s">
        <v>715</v>
      </c>
      <c r="C820" s="37" t="s">
        <v>239</v>
      </c>
      <c r="D820" s="37" t="s">
        <v>239</v>
      </c>
      <c r="E820" s="37" t="s">
        <v>296</v>
      </c>
      <c r="F820" s="37" t="s">
        <v>1</v>
      </c>
      <c r="G820" s="38">
        <f>G821</f>
        <v>2023932.8</v>
      </c>
      <c r="H820" s="38"/>
    </row>
    <row r="821" spans="1:8" ht="47.25" outlineLevel="7">
      <c r="A821" s="36" t="s">
        <v>692</v>
      </c>
      <c r="B821" s="37" t="s">
        <v>715</v>
      </c>
      <c r="C821" s="37" t="s">
        <v>239</v>
      </c>
      <c r="D821" s="37" t="s">
        <v>239</v>
      </c>
      <c r="E821" s="37" t="s">
        <v>296</v>
      </c>
      <c r="F821" s="37" t="s">
        <v>70</v>
      </c>
      <c r="G821" s="38">
        <v>2023932.8</v>
      </c>
      <c r="H821" s="38"/>
    </row>
    <row r="822" spans="1:9" s="35" customFormat="1" ht="15.75" outlineLevel="2">
      <c r="A822" s="32" t="s">
        <v>680</v>
      </c>
      <c r="B822" s="33" t="s">
        <v>715</v>
      </c>
      <c r="C822" s="33" t="s">
        <v>239</v>
      </c>
      <c r="D822" s="33" t="s">
        <v>146</v>
      </c>
      <c r="E822" s="33" t="s">
        <v>4</v>
      </c>
      <c r="F822" s="33" t="s">
        <v>1</v>
      </c>
      <c r="G822" s="34">
        <f>G823+G853</f>
        <v>71637293.69</v>
      </c>
      <c r="H822" s="34">
        <f>H823</f>
        <v>15095800</v>
      </c>
      <c r="I822" s="106"/>
    </row>
    <row r="823" spans="1:9" s="35" customFormat="1" ht="47.25" outlineLevel="3">
      <c r="A823" s="32" t="s">
        <v>653</v>
      </c>
      <c r="B823" s="33" t="s">
        <v>715</v>
      </c>
      <c r="C823" s="33" t="s">
        <v>239</v>
      </c>
      <c r="D823" s="33" t="s">
        <v>146</v>
      </c>
      <c r="E823" s="33" t="s">
        <v>23</v>
      </c>
      <c r="F823" s="33" t="s">
        <v>1</v>
      </c>
      <c r="G823" s="34">
        <f>G824+G831+G838</f>
        <v>70972593.69</v>
      </c>
      <c r="H823" s="34">
        <f>H838</f>
        <v>15095800</v>
      </c>
      <c r="I823" s="106"/>
    </row>
    <row r="824" spans="1:9" s="35" customFormat="1" ht="63" outlineLevel="4">
      <c r="A824" s="32" t="s">
        <v>643</v>
      </c>
      <c r="B824" s="33" t="s">
        <v>715</v>
      </c>
      <c r="C824" s="33" t="s">
        <v>239</v>
      </c>
      <c r="D824" s="33" t="s">
        <v>146</v>
      </c>
      <c r="E824" s="33" t="s">
        <v>314</v>
      </c>
      <c r="F824" s="33" t="s">
        <v>1</v>
      </c>
      <c r="G824" s="34">
        <f>G825+G828</f>
        <v>21301599.51</v>
      </c>
      <c r="H824" s="34"/>
      <c r="I824" s="106"/>
    </row>
    <row r="825" spans="1:8" ht="47.25" outlineLevel="5">
      <c r="A825" s="36" t="s">
        <v>795</v>
      </c>
      <c r="B825" s="37" t="s">
        <v>715</v>
      </c>
      <c r="C825" s="37" t="s">
        <v>239</v>
      </c>
      <c r="D825" s="37" t="s">
        <v>146</v>
      </c>
      <c r="E825" s="37" t="s">
        <v>315</v>
      </c>
      <c r="F825" s="37" t="s">
        <v>1</v>
      </c>
      <c r="G825" s="38">
        <f>G826</f>
        <v>20966181</v>
      </c>
      <c r="H825" s="38"/>
    </row>
    <row r="826" spans="1:8" ht="78.75" outlineLevel="6">
      <c r="A826" s="36" t="s">
        <v>443</v>
      </c>
      <c r="B826" s="37" t="s">
        <v>715</v>
      </c>
      <c r="C826" s="37" t="s">
        <v>239</v>
      </c>
      <c r="D826" s="37" t="s">
        <v>146</v>
      </c>
      <c r="E826" s="37" t="s">
        <v>316</v>
      </c>
      <c r="F826" s="37" t="s">
        <v>1</v>
      </c>
      <c r="G826" s="38">
        <f>G827</f>
        <v>20966181</v>
      </c>
      <c r="H826" s="38"/>
    </row>
    <row r="827" spans="1:8" ht="47.25" outlineLevel="7">
      <c r="A827" s="36" t="s">
        <v>692</v>
      </c>
      <c r="B827" s="37" t="s">
        <v>715</v>
      </c>
      <c r="C827" s="37" t="s">
        <v>239</v>
      </c>
      <c r="D827" s="37" t="s">
        <v>146</v>
      </c>
      <c r="E827" s="37" t="s">
        <v>316</v>
      </c>
      <c r="F827" s="37" t="s">
        <v>70</v>
      </c>
      <c r="G827" s="38">
        <v>20966181</v>
      </c>
      <c r="H827" s="38"/>
    </row>
    <row r="828" spans="1:8" ht="31.5" outlineLevel="5">
      <c r="A828" s="36" t="s">
        <v>786</v>
      </c>
      <c r="B828" s="37" t="s">
        <v>715</v>
      </c>
      <c r="C828" s="37" t="s">
        <v>239</v>
      </c>
      <c r="D828" s="37" t="s">
        <v>146</v>
      </c>
      <c r="E828" s="37" t="s">
        <v>317</v>
      </c>
      <c r="F828" s="37" t="s">
        <v>1</v>
      </c>
      <c r="G828" s="38">
        <f>G829</f>
        <v>335418.51</v>
      </c>
      <c r="H828" s="38"/>
    </row>
    <row r="829" spans="1:8" ht="78.75" outlineLevel="6">
      <c r="A829" s="36" t="s">
        <v>432</v>
      </c>
      <c r="B829" s="37" t="s">
        <v>715</v>
      </c>
      <c r="C829" s="37" t="s">
        <v>239</v>
      </c>
      <c r="D829" s="37" t="s">
        <v>146</v>
      </c>
      <c r="E829" s="37" t="s">
        <v>318</v>
      </c>
      <c r="F829" s="37" t="s">
        <v>1</v>
      </c>
      <c r="G829" s="38">
        <f>G830</f>
        <v>335418.51</v>
      </c>
      <c r="H829" s="38"/>
    </row>
    <row r="830" spans="1:8" ht="47.25" outlineLevel="7">
      <c r="A830" s="36" t="s">
        <v>692</v>
      </c>
      <c r="B830" s="37" t="s">
        <v>715</v>
      </c>
      <c r="C830" s="37" t="s">
        <v>239</v>
      </c>
      <c r="D830" s="37" t="s">
        <v>146</v>
      </c>
      <c r="E830" s="37" t="s">
        <v>318</v>
      </c>
      <c r="F830" s="37" t="s">
        <v>70</v>
      </c>
      <c r="G830" s="38">
        <f>295072.48+40346.03</f>
        <v>335418.51</v>
      </c>
      <c r="H830" s="38"/>
    </row>
    <row r="831" spans="1:9" s="35" customFormat="1" ht="63" outlineLevel="4">
      <c r="A831" s="32" t="s">
        <v>644</v>
      </c>
      <c r="B831" s="33" t="s">
        <v>715</v>
      </c>
      <c r="C831" s="33" t="s">
        <v>239</v>
      </c>
      <c r="D831" s="33" t="s">
        <v>146</v>
      </c>
      <c r="E831" s="33" t="s">
        <v>319</v>
      </c>
      <c r="F831" s="33" t="s">
        <v>1</v>
      </c>
      <c r="G831" s="34">
        <f>G832+G835</f>
        <v>28135196.18</v>
      </c>
      <c r="H831" s="34"/>
      <c r="I831" s="106"/>
    </row>
    <row r="832" spans="1:8" ht="47.25" outlineLevel="5">
      <c r="A832" s="36" t="s">
        <v>796</v>
      </c>
      <c r="B832" s="37" t="s">
        <v>715</v>
      </c>
      <c r="C832" s="37" t="s">
        <v>239</v>
      </c>
      <c r="D832" s="37" t="s">
        <v>146</v>
      </c>
      <c r="E832" s="37" t="s">
        <v>320</v>
      </c>
      <c r="F832" s="37" t="s">
        <v>1</v>
      </c>
      <c r="G832" s="38">
        <f>G833</f>
        <v>27779900</v>
      </c>
      <c r="H832" s="38"/>
    </row>
    <row r="833" spans="1:8" ht="78.75" outlineLevel="6">
      <c r="A833" s="36" t="s">
        <v>443</v>
      </c>
      <c r="B833" s="37" t="s">
        <v>715</v>
      </c>
      <c r="C833" s="37" t="s">
        <v>239</v>
      </c>
      <c r="D833" s="37" t="s">
        <v>146</v>
      </c>
      <c r="E833" s="37" t="s">
        <v>321</v>
      </c>
      <c r="F833" s="37" t="s">
        <v>1</v>
      </c>
      <c r="G833" s="38">
        <f>G834</f>
        <v>27779900</v>
      </c>
      <c r="H833" s="38"/>
    </row>
    <row r="834" spans="1:8" ht="47.25" outlineLevel="7">
      <c r="A834" s="36" t="s">
        <v>692</v>
      </c>
      <c r="B834" s="37" t="s">
        <v>715</v>
      </c>
      <c r="C834" s="37" t="s">
        <v>239</v>
      </c>
      <c r="D834" s="37" t="s">
        <v>146</v>
      </c>
      <c r="E834" s="37" t="s">
        <v>321</v>
      </c>
      <c r="F834" s="37" t="s">
        <v>70</v>
      </c>
      <c r="G834" s="38">
        <v>27779900</v>
      </c>
      <c r="H834" s="38"/>
    </row>
    <row r="835" spans="1:8" ht="31.5" outlineLevel="5">
      <c r="A835" s="36" t="s">
        <v>786</v>
      </c>
      <c r="B835" s="37" t="s">
        <v>715</v>
      </c>
      <c r="C835" s="37" t="s">
        <v>239</v>
      </c>
      <c r="D835" s="37" t="s">
        <v>146</v>
      </c>
      <c r="E835" s="37" t="s">
        <v>322</v>
      </c>
      <c r="F835" s="37" t="s">
        <v>1</v>
      </c>
      <c r="G835" s="38">
        <f>G836</f>
        <v>355296.18</v>
      </c>
      <c r="H835" s="38"/>
    </row>
    <row r="836" spans="1:8" ht="78.75" outlineLevel="6">
      <c r="A836" s="36" t="s">
        <v>432</v>
      </c>
      <c r="B836" s="37" t="s">
        <v>715</v>
      </c>
      <c r="C836" s="37" t="s">
        <v>239</v>
      </c>
      <c r="D836" s="37" t="s">
        <v>146</v>
      </c>
      <c r="E836" s="37" t="s">
        <v>323</v>
      </c>
      <c r="F836" s="37" t="s">
        <v>1</v>
      </c>
      <c r="G836" s="38">
        <f>G837</f>
        <v>355296.18</v>
      </c>
      <c r="H836" s="38"/>
    </row>
    <row r="837" spans="1:8" ht="47.25" outlineLevel="7">
      <c r="A837" s="36" t="s">
        <v>692</v>
      </c>
      <c r="B837" s="37" t="s">
        <v>715</v>
      </c>
      <c r="C837" s="37" t="s">
        <v>239</v>
      </c>
      <c r="D837" s="37" t="s">
        <v>146</v>
      </c>
      <c r="E837" s="37" t="s">
        <v>323</v>
      </c>
      <c r="F837" s="37" t="s">
        <v>70</v>
      </c>
      <c r="G837" s="38">
        <f>295072.76+60223.42</f>
        <v>355296.18</v>
      </c>
      <c r="H837" s="38"/>
    </row>
    <row r="838" spans="1:9" s="35" customFormat="1" ht="31.5" outlineLevel="4">
      <c r="A838" s="32" t="s">
        <v>645</v>
      </c>
      <c r="B838" s="33" t="s">
        <v>715</v>
      </c>
      <c r="C838" s="33" t="s">
        <v>239</v>
      </c>
      <c r="D838" s="33" t="s">
        <v>146</v>
      </c>
      <c r="E838" s="33" t="s">
        <v>324</v>
      </c>
      <c r="F838" s="33" t="s">
        <v>1</v>
      </c>
      <c r="G838" s="34">
        <f>G839+G844+G847+G850</f>
        <v>21535798</v>
      </c>
      <c r="H838" s="34">
        <f>H839+H844+H847+H850</f>
        <v>15095800</v>
      </c>
      <c r="I838" s="106"/>
    </row>
    <row r="839" spans="1:8" ht="31.5" outlineLevel="5">
      <c r="A839" s="36" t="s">
        <v>797</v>
      </c>
      <c r="B839" s="37" t="s">
        <v>715</v>
      </c>
      <c r="C839" s="37" t="s">
        <v>239</v>
      </c>
      <c r="D839" s="37" t="s">
        <v>146</v>
      </c>
      <c r="E839" s="37" t="s">
        <v>325</v>
      </c>
      <c r="F839" s="37" t="s">
        <v>1</v>
      </c>
      <c r="G839" s="38">
        <f>G840+G842</f>
        <v>7385545</v>
      </c>
      <c r="H839" s="38">
        <f>H840</f>
        <v>1601600</v>
      </c>
    </row>
    <row r="840" spans="1:8" ht="94.5" outlineLevel="6">
      <c r="A840" s="36" t="s">
        <v>470</v>
      </c>
      <c r="B840" s="37" t="s">
        <v>715</v>
      </c>
      <c r="C840" s="37" t="s">
        <v>239</v>
      </c>
      <c r="D840" s="37" t="s">
        <v>146</v>
      </c>
      <c r="E840" s="37" t="s">
        <v>326</v>
      </c>
      <c r="F840" s="37" t="s">
        <v>1</v>
      </c>
      <c r="G840" s="38">
        <f>G841</f>
        <v>1601600</v>
      </c>
      <c r="H840" s="38">
        <f>H841</f>
        <v>1601600</v>
      </c>
    </row>
    <row r="841" spans="1:8" ht="47.25" outlineLevel="7">
      <c r="A841" s="36" t="s">
        <v>692</v>
      </c>
      <c r="B841" s="37" t="s">
        <v>715</v>
      </c>
      <c r="C841" s="37" t="s">
        <v>239</v>
      </c>
      <c r="D841" s="37" t="s">
        <v>146</v>
      </c>
      <c r="E841" s="37" t="s">
        <v>326</v>
      </c>
      <c r="F841" s="37" t="s">
        <v>70</v>
      </c>
      <c r="G841" s="38">
        <v>1601600</v>
      </c>
      <c r="H841" s="38">
        <f>G841</f>
        <v>1601600</v>
      </c>
    </row>
    <row r="842" spans="1:8" ht="94.5" outlineLevel="6">
      <c r="A842" s="36" t="s">
        <v>470</v>
      </c>
      <c r="B842" s="37" t="s">
        <v>715</v>
      </c>
      <c r="C842" s="37" t="s">
        <v>239</v>
      </c>
      <c r="D842" s="37" t="s">
        <v>146</v>
      </c>
      <c r="E842" s="37" t="s">
        <v>327</v>
      </c>
      <c r="F842" s="37" t="s">
        <v>1</v>
      </c>
      <c r="G842" s="38">
        <f>G843</f>
        <v>5783945</v>
      </c>
      <c r="H842" s="38"/>
    </row>
    <row r="843" spans="1:8" ht="47.25" outlineLevel="7">
      <c r="A843" s="36" t="s">
        <v>692</v>
      </c>
      <c r="B843" s="37" t="s">
        <v>715</v>
      </c>
      <c r="C843" s="37" t="s">
        <v>239</v>
      </c>
      <c r="D843" s="37" t="s">
        <v>146</v>
      </c>
      <c r="E843" s="37" t="s">
        <v>327</v>
      </c>
      <c r="F843" s="37" t="s">
        <v>70</v>
      </c>
      <c r="G843" s="38">
        <v>5783945</v>
      </c>
      <c r="H843" s="38"/>
    </row>
    <row r="844" spans="1:8" ht="31.5" outlineLevel="5">
      <c r="A844" s="36" t="s">
        <v>798</v>
      </c>
      <c r="B844" s="37" t="s">
        <v>715</v>
      </c>
      <c r="C844" s="37" t="s">
        <v>239</v>
      </c>
      <c r="D844" s="37" t="s">
        <v>146</v>
      </c>
      <c r="E844" s="37" t="s">
        <v>328</v>
      </c>
      <c r="F844" s="37" t="s">
        <v>1</v>
      </c>
      <c r="G844" s="38">
        <f>G845</f>
        <v>13494200</v>
      </c>
      <c r="H844" s="38">
        <f>H845</f>
        <v>13494200</v>
      </c>
    </row>
    <row r="845" spans="1:8" ht="31.5" outlineLevel="6">
      <c r="A845" s="36" t="s">
        <v>471</v>
      </c>
      <c r="B845" s="37" t="s">
        <v>715</v>
      </c>
      <c r="C845" s="37" t="s">
        <v>239</v>
      </c>
      <c r="D845" s="37" t="s">
        <v>146</v>
      </c>
      <c r="E845" s="37" t="s">
        <v>329</v>
      </c>
      <c r="F845" s="37" t="s">
        <v>1</v>
      </c>
      <c r="G845" s="38">
        <f>G846</f>
        <v>13494200</v>
      </c>
      <c r="H845" s="38">
        <f>H846</f>
        <v>13494200</v>
      </c>
    </row>
    <row r="846" spans="1:8" ht="47.25" outlineLevel="7">
      <c r="A846" s="36" t="s">
        <v>692</v>
      </c>
      <c r="B846" s="37" t="s">
        <v>715</v>
      </c>
      <c r="C846" s="37" t="s">
        <v>239</v>
      </c>
      <c r="D846" s="37" t="s">
        <v>146</v>
      </c>
      <c r="E846" s="37" t="s">
        <v>329</v>
      </c>
      <c r="F846" s="37" t="s">
        <v>70</v>
      </c>
      <c r="G846" s="38">
        <v>13494200</v>
      </c>
      <c r="H846" s="38">
        <f>G846</f>
        <v>13494200</v>
      </c>
    </row>
    <row r="847" spans="1:8" ht="31.5" outlineLevel="5">
      <c r="A847" s="36" t="s">
        <v>799</v>
      </c>
      <c r="B847" s="37" t="s">
        <v>715</v>
      </c>
      <c r="C847" s="37" t="s">
        <v>239</v>
      </c>
      <c r="D847" s="37" t="s">
        <v>146</v>
      </c>
      <c r="E847" s="37" t="s">
        <v>330</v>
      </c>
      <c r="F847" s="37" t="s">
        <v>1</v>
      </c>
      <c r="G847" s="38">
        <f>G848</f>
        <v>463553</v>
      </c>
      <c r="H847" s="38"/>
    </row>
    <row r="848" spans="1:8" ht="78.75" outlineLevel="6">
      <c r="A848" s="36" t="s">
        <v>432</v>
      </c>
      <c r="B848" s="37" t="s">
        <v>715</v>
      </c>
      <c r="C848" s="37" t="s">
        <v>239</v>
      </c>
      <c r="D848" s="37" t="s">
        <v>146</v>
      </c>
      <c r="E848" s="37" t="s">
        <v>331</v>
      </c>
      <c r="F848" s="37" t="s">
        <v>1</v>
      </c>
      <c r="G848" s="38">
        <f>G849</f>
        <v>463553</v>
      </c>
      <c r="H848" s="38"/>
    </row>
    <row r="849" spans="1:8" ht="47.25" outlineLevel="7">
      <c r="A849" s="36" t="s">
        <v>692</v>
      </c>
      <c r="B849" s="37" t="s">
        <v>715</v>
      </c>
      <c r="C849" s="37" t="s">
        <v>239</v>
      </c>
      <c r="D849" s="37" t="s">
        <v>146</v>
      </c>
      <c r="E849" s="37" t="s">
        <v>331</v>
      </c>
      <c r="F849" s="37" t="s">
        <v>70</v>
      </c>
      <c r="G849" s="38">
        <f>295072.76+168480.24</f>
        <v>463553</v>
      </c>
      <c r="H849" s="38"/>
    </row>
    <row r="850" spans="1:8" ht="31.5" outlineLevel="7">
      <c r="A850" s="36" t="s">
        <v>965</v>
      </c>
      <c r="B850" s="37" t="s">
        <v>715</v>
      </c>
      <c r="C850" s="37" t="s">
        <v>239</v>
      </c>
      <c r="D850" s="37" t="s">
        <v>146</v>
      </c>
      <c r="E850" s="37" t="s">
        <v>966</v>
      </c>
      <c r="F850" s="37" t="s">
        <v>1</v>
      </c>
      <c r="G850" s="38">
        <f>G851</f>
        <v>192500</v>
      </c>
      <c r="H850" s="38"/>
    </row>
    <row r="851" spans="1:8" ht="78.75" outlineLevel="7">
      <c r="A851" s="36" t="s">
        <v>443</v>
      </c>
      <c r="B851" s="37" t="s">
        <v>715</v>
      </c>
      <c r="C851" s="37" t="s">
        <v>239</v>
      </c>
      <c r="D851" s="37" t="s">
        <v>146</v>
      </c>
      <c r="E851" s="37" t="s">
        <v>967</v>
      </c>
      <c r="F851" s="37" t="s">
        <v>1</v>
      </c>
      <c r="G851" s="38">
        <f>G852</f>
        <v>192500</v>
      </c>
      <c r="H851" s="38"/>
    </row>
    <row r="852" spans="1:8" ht="47.25" outlineLevel="7">
      <c r="A852" s="36" t="s">
        <v>692</v>
      </c>
      <c r="B852" s="37" t="s">
        <v>715</v>
      </c>
      <c r="C852" s="37" t="s">
        <v>239</v>
      </c>
      <c r="D852" s="37" t="s">
        <v>146</v>
      </c>
      <c r="E852" s="37" t="s">
        <v>967</v>
      </c>
      <c r="F852" s="37" t="s">
        <v>70</v>
      </c>
      <c r="G852" s="38">
        <f>192500</f>
        <v>192500</v>
      </c>
      <c r="H852" s="38"/>
    </row>
    <row r="853" spans="1:9" s="35" customFormat="1" ht="47.25" outlineLevel="3">
      <c r="A853" s="32" t="s">
        <v>655</v>
      </c>
      <c r="B853" s="33" t="s">
        <v>715</v>
      </c>
      <c r="C853" s="33" t="s">
        <v>239</v>
      </c>
      <c r="D853" s="33" t="s">
        <v>146</v>
      </c>
      <c r="E853" s="33" t="s">
        <v>90</v>
      </c>
      <c r="F853" s="33" t="s">
        <v>1</v>
      </c>
      <c r="G853" s="34">
        <f>G854</f>
        <v>664700</v>
      </c>
      <c r="H853" s="34"/>
      <c r="I853" s="106"/>
    </row>
    <row r="854" spans="1:9" s="35" customFormat="1" ht="47.25" outlineLevel="4">
      <c r="A854" s="32" t="s">
        <v>620</v>
      </c>
      <c r="B854" s="33" t="s">
        <v>715</v>
      </c>
      <c r="C854" s="33" t="s">
        <v>239</v>
      </c>
      <c r="D854" s="33" t="s">
        <v>146</v>
      </c>
      <c r="E854" s="33" t="s">
        <v>91</v>
      </c>
      <c r="F854" s="33" t="s">
        <v>1</v>
      </c>
      <c r="G854" s="34">
        <f>G855</f>
        <v>664700</v>
      </c>
      <c r="H854" s="34"/>
      <c r="I854" s="106"/>
    </row>
    <row r="855" spans="1:8" ht="31.5" outlineLevel="5">
      <c r="A855" s="36" t="s">
        <v>734</v>
      </c>
      <c r="B855" s="37" t="s">
        <v>715</v>
      </c>
      <c r="C855" s="37" t="s">
        <v>239</v>
      </c>
      <c r="D855" s="37" t="s">
        <v>146</v>
      </c>
      <c r="E855" s="37" t="s">
        <v>100</v>
      </c>
      <c r="F855" s="37" t="s">
        <v>1</v>
      </c>
      <c r="G855" s="38">
        <f>G856</f>
        <v>664700</v>
      </c>
      <c r="H855" s="38"/>
    </row>
    <row r="856" spans="1:8" ht="31.5" outlineLevel="6">
      <c r="A856" s="36" t="s">
        <v>441</v>
      </c>
      <c r="B856" s="37" t="s">
        <v>715</v>
      </c>
      <c r="C856" s="37" t="s">
        <v>239</v>
      </c>
      <c r="D856" s="37" t="s">
        <v>146</v>
      </c>
      <c r="E856" s="37" t="s">
        <v>101</v>
      </c>
      <c r="F856" s="37" t="s">
        <v>1</v>
      </c>
      <c r="G856" s="38">
        <f>G857</f>
        <v>664700</v>
      </c>
      <c r="H856" s="38"/>
    </row>
    <row r="857" spans="1:8" ht="47.25" outlineLevel="7">
      <c r="A857" s="36" t="s">
        <v>692</v>
      </c>
      <c r="B857" s="37" t="s">
        <v>715</v>
      </c>
      <c r="C857" s="37" t="s">
        <v>239</v>
      </c>
      <c r="D857" s="37" t="s">
        <v>146</v>
      </c>
      <c r="E857" s="37" t="s">
        <v>101</v>
      </c>
      <c r="F857" s="37" t="s">
        <v>70</v>
      </c>
      <c r="G857" s="38">
        <f>694700-30000</f>
        <v>664700</v>
      </c>
      <c r="H857" s="38"/>
    </row>
    <row r="858" spans="1:9" s="35" customFormat="1" ht="15.75" outlineLevel="1">
      <c r="A858" s="32" t="s">
        <v>699</v>
      </c>
      <c r="B858" s="33" t="s">
        <v>715</v>
      </c>
      <c r="C858" s="33" t="s">
        <v>187</v>
      </c>
      <c r="D858" s="33" t="s">
        <v>3</v>
      </c>
      <c r="E858" s="33" t="s">
        <v>4</v>
      </c>
      <c r="F858" s="33" t="s">
        <v>1</v>
      </c>
      <c r="G858" s="34">
        <f>G859+G885</f>
        <v>61298336</v>
      </c>
      <c r="H858" s="34">
        <f>H859+H885</f>
        <v>61298336</v>
      </c>
      <c r="I858" s="106"/>
    </row>
    <row r="859" spans="1:9" s="35" customFormat="1" ht="15.75" outlineLevel="2">
      <c r="A859" s="32" t="s">
        <v>683</v>
      </c>
      <c r="B859" s="33" t="s">
        <v>715</v>
      </c>
      <c r="C859" s="33" t="s">
        <v>187</v>
      </c>
      <c r="D859" s="33" t="s">
        <v>14</v>
      </c>
      <c r="E859" s="33" t="s">
        <v>4</v>
      </c>
      <c r="F859" s="33" t="s">
        <v>1</v>
      </c>
      <c r="G859" s="34">
        <f>G860</f>
        <v>4414636</v>
      </c>
      <c r="H859" s="34">
        <f>H860</f>
        <v>4414636</v>
      </c>
      <c r="I859" s="106"/>
    </row>
    <row r="860" spans="1:9" s="35" customFormat="1" ht="47.25" outlineLevel="3">
      <c r="A860" s="32" t="s">
        <v>653</v>
      </c>
      <c r="B860" s="33" t="s">
        <v>715</v>
      </c>
      <c r="C860" s="33" t="s">
        <v>187</v>
      </c>
      <c r="D860" s="33" t="s">
        <v>14</v>
      </c>
      <c r="E860" s="33" t="s">
        <v>23</v>
      </c>
      <c r="F860" s="33" t="s">
        <v>1</v>
      </c>
      <c r="G860" s="34">
        <f>G861+G867+G873</f>
        <v>4414636</v>
      </c>
      <c r="H860" s="34">
        <f>H861+H867+H873</f>
        <v>4414636</v>
      </c>
      <c r="I860" s="106"/>
    </row>
    <row r="861" spans="1:9" s="35" customFormat="1" ht="31.5" outlineLevel="4">
      <c r="A861" s="32" t="s">
        <v>636</v>
      </c>
      <c r="B861" s="33" t="s">
        <v>715</v>
      </c>
      <c r="C861" s="33" t="s">
        <v>187</v>
      </c>
      <c r="D861" s="33" t="s">
        <v>14</v>
      </c>
      <c r="E861" s="33" t="s">
        <v>240</v>
      </c>
      <c r="F861" s="33" t="s">
        <v>1</v>
      </c>
      <c r="G861" s="34">
        <f>G862</f>
        <v>305472.00000000006</v>
      </c>
      <c r="H861" s="34">
        <f>H862</f>
        <v>305472.00000000006</v>
      </c>
      <c r="I861" s="106"/>
    </row>
    <row r="862" spans="1:8" ht="31.5" outlineLevel="5">
      <c r="A862" s="36" t="s">
        <v>786</v>
      </c>
      <c r="B862" s="37" t="s">
        <v>715</v>
      </c>
      <c r="C862" s="37" t="s">
        <v>187</v>
      </c>
      <c r="D862" s="37" t="s">
        <v>14</v>
      </c>
      <c r="E862" s="37" t="s">
        <v>247</v>
      </c>
      <c r="F862" s="37" t="s">
        <v>1</v>
      </c>
      <c r="G862" s="38">
        <f>G863+G865</f>
        <v>305472.00000000006</v>
      </c>
      <c r="H862" s="38">
        <f>H863+H865</f>
        <v>305472.00000000006</v>
      </c>
    </row>
    <row r="863" spans="1:8" ht="94.5" outlineLevel="6">
      <c r="A863" s="36" t="s">
        <v>473</v>
      </c>
      <c r="B863" s="37" t="s">
        <v>715</v>
      </c>
      <c r="C863" s="37" t="s">
        <v>187</v>
      </c>
      <c r="D863" s="37" t="s">
        <v>14</v>
      </c>
      <c r="E863" s="37" t="s">
        <v>373</v>
      </c>
      <c r="F863" s="37" t="s">
        <v>1</v>
      </c>
      <c r="G863" s="38">
        <f>G864</f>
        <v>472</v>
      </c>
      <c r="H863" s="38">
        <f>H864</f>
        <v>472</v>
      </c>
    </row>
    <row r="864" spans="1:8" ht="47.25" outlineLevel="7">
      <c r="A864" s="36" t="s">
        <v>692</v>
      </c>
      <c r="B864" s="37" t="s">
        <v>715</v>
      </c>
      <c r="C864" s="37" t="s">
        <v>187</v>
      </c>
      <c r="D864" s="37" t="s">
        <v>14</v>
      </c>
      <c r="E864" s="37" t="s">
        <v>373</v>
      </c>
      <c r="F864" s="37" t="s">
        <v>70</v>
      </c>
      <c r="G864" s="38">
        <f>1887.92-1415.92</f>
        <v>472</v>
      </c>
      <c r="H864" s="38">
        <f>G864</f>
        <v>472</v>
      </c>
    </row>
    <row r="865" spans="1:8" ht="94.5" outlineLevel="6">
      <c r="A865" s="36" t="s">
        <v>474</v>
      </c>
      <c r="B865" s="37" t="s">
        <v>715</v>
      </c>
      <c r="C865" s="37" t="s">
        <v>187</v>
      </c>
      <c r="D865" s="37" t="s">
        <v>14</v>
      </c>
      <c r="E865" s="37" t="s">
        <v>374</v>
      </c>
      <c r="F865" s="37" t="s">
        <v>1</v>
      </c>
      <c r="G865" s="38">
        <f>G866</f>
        <v>305000.00000000006</v>
      </c>
      <c r="H865" s="38">
        <f>H866</f>
        <v>305000.00000000006</v>
      </c>
    </row>
    <row r="866" spans="1:8" ht="47.25" outlineLevel="7">
      <c r="A866" s="36" t="s">
        <v>692</v>
      </c>
      <c r="B866" s="37" t="s">
        <v>715</v>
      </c>
      <c r="C866" s="37" t="s">
        <v>187</v>
      </c>
      <c r="D866" s="37" t="s">
        <v>14</v>
      </c>
      <c r="E866" s="37" t="s">
        <v>374</v>
      </c>
      <c r="F866" s="37" t="s">
        <v>70</v>
      </c>
      <c r="G866" s="38">
        <f>722034.04-417034.04</f>
        <v>305000.00000000006</v>
      </c>
      <c r="H866" s="38">
        <f>G866</f>
        <v>305000.00000000006</v>
      </c>
    </row>
    <row r="867" spans="1:9" s="35" customFormat="1" ht="63" outlineLevel="4">
      <c r="A867" s="32" t="s">
        <v>638</v>
      </c>
      <c r="B867" s="33" t="s">
        <v>715</v>
      </c>
      <c r="C867" s="33" t="s">
        <v>187</v>
      </c>
      <c r="D867" s="33" t="s">
        <v>14</v>
      </c>
      <c r="E867" s="33" t="s">
        <v>256</v>
      </c>
      <c r="F867" s="33" t="s">
        <v>1</v>
      </c>
      <c r="G867" s="34">
        <f>G868</f>
        <v>1778664</v>
      </c>
      <c r="H867" s="34">
        <f>H868</f>
        <v>1778664</v>
      </c>
      <c r="I867" s="106"/>
    </row>
    <row r="868" spans="1:8" ht="31.5" outlineLevel="5">
      <c r="A868" s="36" t="s">
        <v>786</v>
      </c>
      <c r="B868" s="37" t="s">
        <v>715</v>
      </c>
      <c r="C868" s="37" t="s">
        <v>187</v>
      </c>
      <c r="D868" s="37" t="s">
        <v>14</v>
      </c>
      <c r="E868" s="37" t="s">
        <v>269</v>
      </c>
      <c r="F868" s="37" t="s">
        <v>1</v>
      </c>
      <c r="G868" s="38">
        <f>G869+G871</f>
        <v>1778664</v>
      </c>
      <c r="H868" s="38">
        <f>H869+H871</f>
        <v>1778664</v>
      </c>
    </row>
    <row r="869" spans="1:8" ht="94.5" outlineLevel="6">
      <c r="A869" s="36" t="s">
        <v>473</v>
      </c>
      <c r="B869" s="37" t="s">
        <v>715</v>
      </c>
      <c r="C869" s="37" t="s">
        <v>187</v>
      </c>
      <c r="D869" s="37" t="s">
        <v>14</v>
      </c>
      <c r="E869" s="37" t="s">
        <v>375</v>
      </c>
      <c r="F869" s="37" t="s">
        <v>1</v>
      </c>
      <c r="G869" s="38">
        <f>G870</f>
        <v>4964</v>
      </c>
      <c r="H869" s="38">
        <f>H870</f>
        <v>4964</v>
      </c>
    </row>
    <row r="870" spans="1:8" ht="47.25" outlineLevel="7">
      <c r="A870" s="36" t="s">
        <v>692</v>
      </c>
      <c r="B870" s="37" t="s">
        <v>715</v>
      </c>
      <c r="C870" s="37" t="s">
        <v>187</v>
      </c>
      <c r="D870" s="37" t="s">
        <v>14</v>
      </c>
      <c r="E870" s="37" t="s">
        <v>375</v>
      </c>
      <c r="F870" s="37" t="s">
        <v>70</v>
      </c>
      <c r="G870" s="38">
        <f>3548.08+1415.92</f>
        <v>4964</v>
      </c>
      <c r="H870" s="38">
        <f>G870</f>
        <v>4964</v>
      </c>
    </row>
    <row r="871" spans="1:8" ht="94.5" outlineLevel="6">
      <c r="A871" s="36" t="s">
        <v>474</v>
      </c>
      <c r="B871" s="37" t="s">
        <v>715</v>
      </c>
      <c r="C871" s="37" t="s">
        <v>187</v>
      </c>
      <c r="D871" s="37" t="s">
        <v>14</v>
      </c>
      <c r="E871" s="37" t="s">
        <v>376</v>
      </c>
      <c r="F871" s="37" t="s">
        <v>1</v>
      </c>
      <c r="G871" s="38">
        <f>G872</f>
        <v>1773700</v>
      </c>
      <c r="H871" s="38">
        <f>H872</f>
        <v>1773700</v>
      </c>
    </row>
    <row r="872" spans="1:8" ht="47.25" outlineLevel="7">
      <c r="A872" s="36" t="s">
        <v>692</v>
      </c>
      <c r="B872" s="37" t="s">
        <v>715</v>
      </c>
      <c r="C872" s="37" t="s">
        <v>187</v>
      </c>
      <c r="D872" s="37" t="s">
        <v>14</v>
      </c>
      <c r="E872" s="37" t="s">
        <v>376</v>
      </c>
      <c r="F872" s="37" t="s">
        <v>70</v>
      </c>
      <c r="G872" s="38">
        <f>1356665.96+417034.04</f>
        <v>1773700</v>
      </c>
      <c r="H872" s="38">
        <f>G872</f>
        <v>1773700</v>
      </c>
    </row>
    <row r="873" spans="1:9" s="35" customFormat="1" ht="47.25" outlineLevel="4">
      <c r="A873" s="32" t="s">
        <v>610</v>
      </c>
      <c r="B873" s="33" t="s">
        <v>715</v>
      </c>
      <c r="C873" s="33" t="s">
        <v>187</v>
      </c>
      <c r="D873" s="33" t="s">
        <v>14</v>
      </c>
      <c r="E873" s="33" t="s">
        <v>24</v>
      </c>
      <c r="F873" s="33" t="s">
        <v>1</v>
      </c>
      <c r="G873" s="34">
        <f>G874+G877+G882</f>
        <v>2330500</v>
      </c>
      <c r="H873" s="34">
        <f>H874+H877+H882</f>
        <v>2330500</v>
      </c>
      <c r="I873" s="106"/>
    </row>
    <row r="874" spans="1:8" ht="157.5" outlineLevel="5">
      <c r="A874" s="36" t="s">
        <v>800</v>
      </c>
      <c r="B874" s="37" t="s">
        <v>715</v>
      </c>
      <c r="C874" s="37" t="s">
        <v>187</v>
      </c>
      <c r="D874" s="37" t="s">
        <v>14</v>
      </c>
      <c r="E874" s="37" t="s">
        <v>377</v>
      </c>
      <c r="F874" s="37" t="s">
        <v>1</v>
      </c>
      <c r="G874" s="38">
        <f>G875</f>
        <v>147100</v>
      </c>
      <c r="H874" s="38">
        <f>H875</f>
        <v>147100</v>
      </c>
    </row>
    <row r="875" spans="1:8" ht="173.25" outlineLevel="6">
      <c r="A875" s="36" t="s">
        <v>475</v>
      </c>
      <c r="B875" s="37" t="s">
        <v>715</v>
      </c>
      <c r="C875" s="37" t="s">
        <v>187</v>
      </c>
      <c r="D875" s="37" t="s">
        <v>14</v>
      </c>
      <c r="E875" s="37" t="s">
        <v>378</v>
      </c>
      <c r="F875" s="37" t="s">
        <v>1</v>
      </c>
      <c r="G875" s="38">
        <f>G876</f>
        <v>147100</v>
      </c>
      <c r="H875" s="38">
        <f>H876</f>
        <v>147100</v>
      </c>
    </row>
    <row r="876" spans="1:8" ht="31.5" outlineLevel="7">
      <c r="A876" s="36" t="s">
        <v>690</v>
      </c>
      <c r="B876" s="37" t="s">
        <v>715</v>
      </c>
      <c r="C876" s="37" t="s">
        <v>187</v>
      </c>
      <c r="D876" s="37" t="s">
        <v>14</v>
      </c>
      <c r="E876" s="37" t="s">
        <v>378</v>
      </c>
      <c r="F876" s="37" t="s">
        <v>47</v>
      </c>
      <c r="G876" s="38">
        <v>147100</v>
      </c>
      <c r="H876" s="38">
        <f>G876</f>
        <v>147100</v>
      </c>
    </row>
    <row r="877" spans="1:8" ht="94.5" outlineLevel="5">
      <c r="A877" s="36" t="s">
        <v>801</v>
      </c>
      <c r="B877" s="37" t="s">
        <v>715</v>
      </c>
      <c r="C877" s="37" t="s">
        <v>187</v>
      </c>
      <c r="D877" s="37" t="s">
        <v>14</v>
      </c>
      <c r="E877" s="37" t="s">
        <v>379</v>
      </c>
      <c r="F877" s="37" t="s">
        <v>1</v>
      </c>
      <c r="G877" s="38">
        <f>G878+G880</f>
        <v>1869400</v>
      </c>
      <c r="H877" s="38">
        <f>H878+H880</f>
        <v>1869400</v>
      </c>
    </row>
    <row r="878" spans="1:8" ht="94.5" outlineLevel="6">
      <c r="A878" s="36" t="s">
        <v>476</v>
      </c>
      <c r="B878" s="37" t="s">
        <v>715</v>
      </c>
      <c r="C878" s="37" t="s">
        <v>187</v>
      </c>
      <c r="D878" s="37" t="s">
        <v>14</v>
      </c>
      <c r="E878" s="37" t="s">
        <v>380</v>
      </c>
      <c r="F878" s="37" t="s">
        <v>1</v>
      </c>
      <c r="G878" s="38">
        <f>G879</f>
        <v>1847600</v>
      </c>
      <c r="H878" s="38">
        <f>H879</f>
        <v>1847600</v>
      </c>
    </row>
    <row r="879" spans="1:8" ht="31.5" outlineLevel="7">
      <c r="A879" s="36" t="s">
        <v>690</v>
      </c>
      <c r="B879" s="37" t="s">
        <v>715</v>
      </c>
      <c r="C879" s="37" t="s">
        <v>187</v>
      </c>
      <c r="D879" s="37" t="s">
        <v>14</v>
      </c>
      <c r="E879" s="37" t="s">
        <v>380</v>
      </c>
      <c r="F879" s="37" t="s">
        <v>47</v>
      </c>
      <c r="G879" s="38">
        <v>1847600</v>
      </c>
      <c r="H879" s="38">
        <f>G879</f>
        <v>1847600</v>
      </c>
    </row>
    <row r="880" spans="1:8" ht="94.5" outlineLevel="6">
      <c r="A880" s="36" t="s">
        <v>477</v>
      </c>
      <c r="B880" s="37" t="s">
        <v>715</v>
      </c>
      <c r="C880" s="37" t="s">
        <v>187</v>
      </c>
      <c r="D880" s="37" t="s">
        <v>14</v>
      </c>
      <c r="E880" s="37" t="s">
        <v>381</v>
      </c>
      <c r="F880" s="37" t="s">
        <v>1</v>
      </c>
      <c r="G880" s="38">
        <f>G881</f>
        <v>21800</v>
      </c>
      <c r="H880" s="38">
        <f>H881</f>
        <v>21800</v>
      </c>
    </row>
    <row r="881" spans="1:8" ht="94.5" outlineLevel="7">
      <c r="A881" s="36" t="s">
        <v>704</v>
      </c>
      <c r="B881" s="37" t="s">
        <v>715</v>
      </c>
      <c r="C881" s="37" t="s">
        <v>187</v>
      </c>
      <c r="D881" s="37" t="s">
        <v>14</v>
      </c>
      <c r="E881" s="37" t="s">
        <v>381</v>
      </c>
      <c r="F881" s="37" t="s">
        <v>10</v>
      </c>
      <c r="G881" s="38">
        <v>21800</v>
      </c>
      <c r="H881" s="38">
        <f>G881</f>
        <v>21800</v>
      </c>
    </row>
    <row r="882" spans="1:8" ht="110.25" outlineLevel="5">
      <c r="A882" s="36" t="s">
        <v>802</v>
      </c>
      <c r="B882" s="37" t="s">
        <v>715</v>
      </c>
      <c r="C882" s="37" t="s">
        <v>187</v>
      </c>
      <c r="D882" s="37" t="s">
        <v>14</v>
      </c>
      <c r="E882" s="37" t="s">
        <v>382</v>
      </c>
      <c r="F882" s="37" t="s">
        <v>1</v>
      </c>
      <c r="G882" s="38">
        <f>G883</f>
        <v>314000</v>
      </c>
      <c r="H882" s="38">
        <f>H883</f>
        <v>314000</v>
      </c>
    </row>
    <row r="883" spans="1:8" ht="157.5" outlineLevel="6">
      <c r="A883" s="36" t="s">
        <v>478</v>
      </c>
      <c r="B883" s="37" t="s">
        <v>715</v>
      </c>
      <c r="C883" s="37" t="s">
        <v>187</v>
      </c>
      <c r="D883" s="37" t="s">
        <v>14</v>
      </c>
      <c r="E883" s="37" t="s">
        <v>383</v>
      </c>
      <c r="F883" s="37" t="s">
        <v>1</v>
      </c>
      <c r="G883" s="38">
        <f>G884</f>
        <v>314000</v>
      </c>
      <c r="H883" s="38">
        <f>H884</f>
        <v>314000</v>
      </c>
    </row>
    <row r="884" spans="1:8" ht="31.5" outlineLevel="7">
      <c r="A884" s="36" t="s">
        <v>690</v>
      </c>
      <c r="B884" s="37" t="s">
        <v>715</v>
      </c>
      <c r="C884" s="37" t="s">
        <v>187</v>
      </c>
      <c r="D884" s="37" t="s">
        <v>14</v>
      </c>
      <c r="E884" s="37" t="s">
        <v>383</v>
      </c>
      <c r="F884" s="37" t="s">
        <v>47</v>
      </c>
      <c r="G884" s="38">
        <v>314000</v>
      </c>
      <c r="H884" s="38">
        <f>G884</f>
        <v>314000</v>
      </c>
    </row>
    <row r="885" spans="1:9" s="35" customFormat="1" ht="15.75" outlineLevel="2">
      <c r="A885" s="32" t="s">
        <v>684</v>
      </c>
      <c r="B885" s="33" t="s">
        <v>715</v>
      </c>
      <c r="C885" s="33" t="s">
        <v>187</v>
      </c>
      <c r="D885" s="33" t="s">
        <v>22</v>
      </c>
      <c r="E885" s="33" t="s">
        <v>4</v>
      </c>
      <c r="F885" s="33" t="s">
        <v>1</v>
      </c>
      <c r="G885" s="34">
        <f>G886</f>
        <v>56883700</v>
      </c>
      <c r="H885" s="34">
        <f>H886</f>
        <v>56883700</v>
      </c>
      <c r="I885" s="106"/>
    </row>
    <row r="886" spans="1:9" s="35" customFormat="1" ht="47.25" outlineLevel="3">
      <c r="A886" s="32" t="s">
        <v>653</v>
      </c>
      <c r="B886" s="33" t="s">
        <v>715</v>
      </c>
      <c r="C886" s="33" t="s">
        <v>187</v>
      </c>
      <c r="D886" s="33" t="s">
        <v>22</v>
      </c>
      <c r="E886" s="33" t="s">
        <v>23</v>
      </c>
      <c r="F886" s="33" t="s">
        <v>1</v>
      </c>
      <c r="G886" s="34">
        <f>G887+G895</f>
        <v>56883700</v>
      </c>
      <c r="H886" s="34">
        <f>H887+H895</f>
        <v>56883700</v>
      </c>
      <c r="I886" s="106"/>
    </row>
    <row r="887" spans="1:9" s="35" customFormat="1" ht="31.5" outlineLevel="4">
      <c r="A887" s="32" t="s">
        <v>636</v>
      </c>
      <c r="B887" s="33" t="s">
        <v>715</v>
      </c>
      <c r="C887" s="33" t="s">
        <v>187</v>
      </c>
      <c r="D887" s="33" t="s">
        <v>22</v>
      </c>
      <c r="E887" s="33" t="s">
        <v>240</v>
      </c>
      <c r="F887" s="33" t="s">
        <v>1</v>
      </c>
      <c r="G887" s="34">
        <f>G888+G892</f>
        <v>17444400</v>
      </c>
      <c r="H887" s="34">
        <f>H888+H892</f>
        <v>17444400</v>
      </c>
      <c r="I887" s="106"/>
    </row>
    <row r="888" spans="1:8" ht="78.75" outlineLevel="5">
      <c r="A888" s="36" t="s">
        <v>963</v>
      </c>
      <c r="B888" s="37" t="s">
        <v>715</v>
      </c>
      <c r="C888" s="37" t="s">
        <v>187</v>
      </c>
      <c r="D888" s="37" t="s">
        <v>22</v>
      </c>
      <c r="E888" s="37" t="s">
        <v>388</v>
      </c>
      <c r="F888" s="37" t="s">
        <v>1</v>
      </c>
      <c r="G888" s="38">
        <f>G889</f>
        <v>425500</v>
      </c>
      <c r="H888" s="38">
        <f>H889</f>
        <v>425500</v>
      </c>
    </row>
    <row r="889" spans="1:8" ht="141.75" outlineLevel="6">
      <c r="A889" s="36" t="s">
        <v>479</v>
      </c>
      <c r="B889" s="37" t="s">
        <v>715</v>
      </c>
      <c r="C889" s="37" t="s">
        <v>187</v>
      </c>
      <c r="D889" s="37" t="s">
        <v>22</v>
      </c>
      <c r="E889" s="37" t="s">
        <v>389</v>
      </c>
      <c r="F889" s="37" t="s">
        <v>1</v>
      </c>
      <c r="G889" s="38">
        <f>G891+G890</f>
        <v>425500</v>
      </c>
      <c r="H889" s="38">
        <f>H890+H891</f>
        <v>425500</v>
      </c>
    </row>
    <row r="890" spans="1:8" ht="31.5" outlineLevel="7">
      <c r="A890" s="36" t="s">
        <v>689</v>
      </c>
      <c r="B890" s="37" t="s">
        <v>715</v>
      </c>
      <c r="C890" s="37" t="s">
        <v>187</v>
      </c>
      <c r="D890" s="37" t="s">
        <v>22</v>
      </c>
      <c r="E890" s="37" t="s">
        <v>389</v>
      </c>
      <c r="F890" s="37" t="s">
        <v>17</v>
      </c>
      <c r="G890" s="38">
        <v>170216.5</v>
      </c>
      <c r="H890" s="38">
        <f>G890</f>
        <v>170216.5</v>
      </c>
    </row>
    <row r="891" spans="1:8" ht="47.25" outlineLevel="7">
      <c r="A891" s="36" t="s">
        <v>692</v>
      </c>
      <c r="B891" s="37" t="s">
        <v>715</v>
      </c>
      <c r="C891" s="37" t="s">
        <v>187</v>
      </c>
      <c r="D891" s="37" t="s">
        <v>22</v>
      </c>
      <c r="E891" s="37" t="s">
        <v>389</v>
      </c>
      <c r="F891" s="37" t="s">
        <v>70</v>
      </c>
      <c r="G891" s="38">
        <v>255283.5</v>
      </c>
      <c r="H891" s="38">
        <f>G891</f>
        <v>255283.5</v>
      </c>
    </row>
    <row r="892" spans="1:8" ht="63" outlineLevel="5">
      <c r="A892" s="36" t="s">
        <v>961</v>
      </c>
      <c r="B892" s="37" t="s">
        <v>715</v>
      </c>
      <c r="C892" s="37" t="s">
        <v>187</v>
      </c>
      <c r="D892" s="37" t="s">
        <v>22</v>
      </c>
      <c r="E892" s="37" t="s">
        <v>390</v>
      </c>
      <c r="F892" s="37" t="s">
        <v>1</v>
      </c>
      <c r="G892" s="38">
        <f>G893</f>
        <v>17018900</v>
      </c>
      <c r="H892" s="38">
        <f>H893</f>
        <v>17018900</v>
      </c>
    </row>
    <row r="893" spans="1:8" ht="94.5" outlineLevel="6">
      <c r="A893" s="36" t="s">
        <v>480</v>
      </c>
      <c r="B893" s="37" t="s">
        <v>715</v>
      </c>
      <c r="C893" s="37" t="s">
        <v>187</v>
      </c>
      <c r="D893" s="37" t="s">
        <v>22</v>
      </c>
      <c r="E893" s="37" t="s">
        <v>391</v>
      </c>
      <c r="F893" s="37" t="s">
        <v>1</v>
      </c>
      <c r="G893" s="38">
        <f>G894</f>
        <v>17018900</v>
      </c>
      <c r="H893" s="38">
        <f>H894</f>
        <v>17018900</v>
      </c>
    </row>
    <row r="894" spans="1:8" ht="31.5" outlineLevel="7">
      <c r="A894" s="36" t="s">
        <v>690</v>
      </c>
      <c r="B894" s="37" t="s">
        <v>715</v>
      </c>
      <c r="C894" s="37" t="s">
        <v>187</v>
      </c>
      <c r="D894" s="37" t="s">
        <v>22</v>
      </c>
      <c r="E894" s="37" t="s">
        <v>391</v>
      </c>
      <c r="F894" s="37" t="s">
        <v>47</v>
      </c>
      <c r="G894" s="38">
        <v>17018900</v>
      </c>
      <c r="H894" s="38">
        <f>G894</f>
        <v>17018900</v>
      </c>
    </row>
    <row r="895" spans="1:9" s="35" customFormat="1" ht="47.25" outlineLevel="4">
      <c r="A895" s="32" t="s">
        <v>610</v>
      </c>
      <c r="B895" s="33" t="s">
        <v>715</v>
      </c>
      <c r="C895" s="33" t="s">
        <v>187</v>
      </c>
      <c r="D895" s="33" t="s">
        <v>22</v>
      </c>
      <c r="E895" s="33" t="s">
        <v>24</v>
      </c>
      <c r="F895" s="33" t="s">
        <v>1</v>
      </c>
      <c r="G895" s="34">
        <f>G896+G900+G903</f>
        <v>39439300</v>
      </c>
      <c r="H895" s="34">
        <f>H896+H900+H903</f>
        <v>39439300</v>
      </c>
      <c r="I895" s="106"/>
    </row>
    <row r="896" spans="1:8" ht="47.25" outlineLevel="5">
      <c r="A896" s="36" t="s">
        <v>803</v>
      </c>
      <c r="B896" s="37" t="s">
        <v>715</v>
      </c>
      <c r="C896" s="37" t="s">
        <v>187</v>
      </c>
      <c r="D896" s="37" t="s">
        <v>22</v>
      </c>
      <c r="E896" s="37" t="s">
        <v>392</v>
      </c>
      <c r="F896" s="37" t="s">
        <v>1</v>
      </c>
      <c r="G896" s="38">
        <f>G897</f>
        <v>5286000</v>
      </c>
      <c r="H896" s="38">
        <f>H897</f>
        <v>5286000</v>
      </c>
    </row>
    <row r="897" spans="1:8" ht="126" outlineLevel="6">
      <c r="A897" s="36" t="s">
        <v>481</v>
      </c>
      <c r="B897" s="37" t="s">
        <v>715</v>
      </c>
      <c r="C897" s="37" t="s">
        <v>187</v>
      </c>
      <c r="D897" s="37" t="s">
        <v>22</v>
      </c>
      <c r="E897" s="37" t="s">
        <v>393</v>
      </c>
      <c r="F897" s="37" t="s">
        <v>1</v>
      </c>
      <c r="G897" s="38">
        <f>G898+G899</f>
        <v>5286000</v>
      </c>
      <c r="H897" s="38">
        <f>H898+H899</f>
        <v>5286000</v>
      </c>
    </row>
    <row r="898" spans="1:8" ht="94.5" outlineLevel="7">
      <c r="A898" s="36" t="s">
        <v>704</v>
      </c>
      <c r="B898" s="37" t="s">
        <v>715</v>
      </c>
      <c r="C898" s="37" t="s">
        <v>187</v>
      </c>
      <c r="D898" s="37" t="s">
        <v>22</v>
      </c>
      <c r="E898" s="37" t="s">
        <v>393</v>
      </c>
      <c r="F898" s="37" t="s">
        <v>10</v>
      </c>
      <c r="G898" s="38">
        <f>3774682.59+153797.88+69677.09</f>
        <v>3998157.5599999996</v>
      </c>
      <c r="H898" s="38">
        <f>G898</f>
        <v>3998157.5599999996</v>
      </c>
    </row>
    <row r="899" spans="1:8" ht="31.5" outlineLevel="7">
      <c r="A899" s="36" t="s">
        <v>689</v>
      </c>
      <c r="B899" s="37" t="s">
        <v>715</v>
      </c>
      <c r="C899" s="37" t="s">
        <v>187</v>
      </c>
      <c r="D899" s="37" t="s">
        <v>22</v>
      </c>
      <c r="E899" s="37" t="s">
        <v>393</v>
      </c>
      <c r="F899" s="37" t="s">
        <v>17</v>
      </c>
      <c r="G899" s="38">
        <f>1511317.41-223474.97</f>
        <v>1287842.44</v>
      </c>
      <c r="H899" s="38">
        <f>G899</f>
        <v>1287842.44</v>
      </c>
    </row>
    <row r="900" spans="1:8" ht="63" outlineLevel="5">
      <c r="A900" s="36" t="s">
        <v>804</v>
      </c>
      <c r="B900" s="37" t="s">
        <v>715</v>
      </c>
      <c r="C900" s="37" t="s">
        <v>187</v>
      </c>
      <c r="D900" s="37" t="s">
        <v>22</v>
      </c>
      <c r="E900" s="37" t="s">
        <v>394</v>
      </c>
      <c r="F900" s="37" t="s">
        <v>1</v>
      </c>
      <c r="G900" s="38">
        <f>G901</f>
        <v>756100</v>
      </c>
      <c r="H900" s="38">
        <f>H901</f>
        <v>756100</v>
      </c>
    </row>
    <row r="901" spans="1:8" ht="94.5" outlineLevel="6">
      <c r="A901" s="36" t="s">
        <v>482</v>
      </c>
      <c r="B901" s="37" t="s">
        <v>715</v>
      </c>
      <c r="C901" s="37" t="s">
        <v>187</v>
      </c>
      <c r="D901" s="37" t="s">
        <v>22</v>
      </c>
      <c r="E901" s="37" t="s">
        <v>395</v>
      </c>
      <c r="F901" s="37" t="s">
        <v>1</v>
      </c>
      <c r="G901" s="38">
        <f>G902</f>
        <v>756100</v>
      </c>
      <c r="H901" s="38">
        <f>H902</f>
        <v>756100</v>
      </c>
    </row>
    <row r="902" spans="1:8" ht="31.5" outlineLevel="7">
      <c r="A902" s="36" t="s">
        <v>690</v>
      </c>
      <c r="B902" s="37" t="s">
        <v>715</v>
      </c>
      <c r="C902" s="37" t="s">
        <v>187</v>
      </c>
      <c r="D902" s="37" t="s">
        <v>22</v>
      </c>
      <c r="E902" s="37" t="s">
        <v>395</v>
      </c>
      <c r="F902" s="37" t="s">
        <v>47</v>
      </c>
      <c r="G902" s="38">
        <v>756100</v>
      </c>
      <c r="H902" s="38">
        <f>G902</f>
        <v>756100</v>
      </c>
    </row>
    <row r="903" spans="1:8" ht="63" outlineLevel="5">
      <c r="A903" s="36" t="s">
        <v>805</v>
      </c>
      <c r="B903" s="37" t="s">
        <v>715</v>
      </c>
      <c r="C903" s="37" t="s">
        <v>187</v>
      </c>
      <c r="D903" s="37" t="s">
        <v>22</v>
      </c>
      <c r="E903" s="37" t="s">
        <v>396</v>
      </c>
      <c r="F903" s="37" t="s">
        <v>1</v>
      </c>
      <c r="G903" s="38">
        <f>G904</f>
        <v>33397200</v>
      </c>
      <c r="H903" s="38">
        <f>H904</f>
        <v>33397200</v>
      </c>
    </row>
    <row r="904" spans="1:8" ht="63" outlineLevel="6">
      <c r="A904" s="36" t="s">
        <v>483</v>
      </c>
      <c r="B904" s="37" t="s">
        <v>715</v>
      </c>
      <c r="C904" s="37" t="s">
        <v>187</v>
      </c>
      <c r="D904" s="37" t="s">
        <v>22</v>
      </c>
      <c r="E904" s="37" t="s">
        <v>397</v>
      </c>
      <c r="F904" s="37" t="s">
        <v>1</v>
      </c>
      <c r="G904" s="38">
        <f>G905</f>
        <v>33397200</v>
      </c>
      <c r="H904" s="38">
        <f>H905</f>
        <v>33397200</v>
      </c>
    </row>
    <row r="905" spans="1:8" ht="31.5" outlineLevel="7">
      <c r="A905" s="36" t="s">
        <v>690</v>
      </c>
      <c r="B905" s="37" t="s">
        <v>715</v>
      </c>
      <c r="C905" s="37" t="s">
        <v>187</v>
      </c>
      <c r="D905" s="37" t="s">
        <v>22</v>
      </c>
      <c r="E905" s="37" t="s">
        <v>397</v>
      </c>
      <c r="F905" s="37" t="s">
        <v>47</v>
      </c>
      <c r="G905" s="38">
        <v>33397200</v>
      </c>
      <c r="H905" s="38">
        <f>G905</f>
        <v>33397200</v>
      </c>
    </row>
    <row r="906" spans="1:9" s="35" customFormat="1" ht="47.25">
      <c r="A906" s="32" t="s">
        <v>806</v>
      </c>
      <c r="B906" s="33" t="s">
        <v>717</v>
      </c>
      <c r="C906" s="33" t="s">
        <v>3</v>
      </c>
      <c r="D906" s="33" t="s">
        <v>3</v>
      </c>
      <c r="E906" s="33" t="s">
        <v>4</v>
      </c>
      <c r="F906" s="33" t="s">
        <v>1</v>
      </c>
      <c r="G906" s="34">
        <f>G907+G930+G989+G1069+G1084</f>
        <v>311057225.06</v>
      </c>
      <c r="H906" s="34">
        <f>H930+H989+H1069</f>
        <v>19482898.589999996</v>
      </c>
      <c r="I906" s="106"/>
    </row>
    <row r="907" spans="1:9" s="35" customFormat="1" ht="15.75" outlineLevel="1">
      <c r="A907" s="32" t="s">
        <v>688</v>
      </c>
      <c r="B907" s="33" t="s">
        <v>717</v>
      </c>
      <c r="C907" s="33" t="s">
        <v>2</v>
      </c>
      <c r="D907" s="33" t="s">
        <v>3</v>
      </c>
      <c r="E907" s="33" t="s">
        <v>4</v>
      </c>
      <c r="F907" s="33" t="s">
        <v>1</v>
      </c>
      <c r="G907" s="34">
        <f>G908+G924</f>
        <v>8257509.24</v>
      </c>
      <c r="H907" s="34"/>
      <c r="I907" s="106"/>
    </row>
    <row r="908" spans="1:9" s="35" customFormat="1" ht="78.75" outlineLevel="2">
      <c r="A908" s="32" t="s">
        <v>661</v>
      </c>
      <c r="B908" s="33" t="s">
        <v>717</v>
      </c>
      <c r="C908" s="33" t="s">
        <v>2</v>
      </c>
      <c r="D908" s="33" t="s">
        <v>22</v>
      </c>
      <c r="E908" s="33" t="s">
        <v>4</v>
      </c>
      <c r="F908" s="33" t="s">
        <v>1</v>
      </c>
      <c r="G908" s="34">
        <f>G909</f>
        <v>7994996.91</v>
      </c>
      <c r="H908" s="34"/>
      <c r="I908" s="106"/>
    </row>
    <row r="909" spans="1:9" s="35" customFormat="1" ht="63" outlineLevel="3">
      <c r="A909" s="32" t="s">
        <v>652</v>
      </c>
      <c r="B909" s="33" t="s">
        <v>717</v>
      </c>
      <c r="C909" s="33" t="s">
        <v>2</v>
      </c>
      <c r="D909" s="33" t="s">
        <v>22</v>
      </c>
      <c r="E909" s="33" t="s">
        <v>6</v>
      </c>
      <c r="F909" s="33" t="s">
        <v>1</v>
      </c>
      <c r="G909" s="34">
        <f>G910+G916</f>
        <v>7994996.91</v>
      </c>
      <c r="H909" s="34"/>
      <c r="I909" s="106"/>
    </row>
    <row r="910" spans="1:9" s="35" customFormat="1" ht="63" outlineLevel="4">
      <c r="A910" s="32" t="s">
        <v>614</v>
      </c>
      <c r="B910" s="33" t="s">
        <v>717</v>
      </c>
      <c r="C910" s="33" t="s">
        <v>2</v>
      </c>
      <c r="D910" s="33" t="s">
        <v>22</v>
      </c>
      <c r="E910" s="33" t="s">
        <v>56</v>
      </c>
      <c r="F910" s="33" t="s">
        <v>1</v>
      </c>
      <c r="G910" s="34">
        <f>G911</f>
        <v>7864886.96</v>
      </c>
      <c r="H910" s="34"/>
      <c r="I910" s="106"/>
    </row>
    <row r="911" spans="1:8" ht="47.25" outlineLevel="5">
      <c r="A911" s="36" t="s">
        <v>807</v>
      </c>
      <c r="B911" s="37" t="s">
        <v>717</v>
      </c>
      <c r="C911" s="37" t="s">
        <v>2</v>
      </c>
      <c r="D911" s="37" t="s">
        <v>22</v>
      </c>
      <c r="E911" s="37" t="s">
        <v>57</v>
      </c>
      <c r="F911" s="37" t="s">
        <v>1</v>
      </c>
      <c r="G911" s="38">
        <f>G912+G914</f>
        <v>7864886.96</v>
      </c>
      <c r="H911" s="38"/>
    </row>
    <row r="912" spans="1:8" ht="31.5" outlineLevel="6">
      <c r="A912" s="36" t="s">
        <v>434</v>
      </c>
      <c r="B912" s="37" t="s">
        <v>717</v>
      </c>
      <c r="C912" s="37" t="s">
        <v>2</v>
      </c>
      <c r="D912" s="37" t="s">
        <v>22</v>
      </c>
      <c r="E912" s="37" t="s">
        <v>58</v>
      </c>
      <c r="F912" s="37" t="s">
        <v>1</v>
      </c>
      <c r="G912" s="38">
        <f>G913</f>
        <v>7759523.42</v>
      </c>
      <c r="H912" s="38"/>
    </row>
    <row r="913" spans="1:8" ht="94.5" outlineLevel="7">
      <c r="A913" s="36" t="s">
        <v>704</v>
      </c>
      <c r="B913" s="37" t="s">
        <v>717</v>
      </c>
      <c r="C913" s="37" t="s">
        <v>2</v>
      </c>
      <c r="D913" s="37" t="s">
        <v>22</v>
      </c>
      <c r="E913" s="37" t="s">
        <v>58</v>
      </c>
      <c r="F913" s="37" t="s">
        <v>10</v>
      </c>
      <c r="G913" s="38">
        <v>7759523.42</v>
      </c>
      <c r="H913" s="38"/>
    </row>
    <row r="914" spans="1:8" ht="78.75" outlineLevel="6">
      <c r="A914" s="36" t="s">
        <v>432</v>
      </c>
      <c r="B914" s="37" t="s">
        <v>717</v>
      </c>
      <c r="C914" s="37" t="s">
        <v>2</v>
      </c>
      <c r="D914" s="37" t="s">
        <v>22</v>
      </c>
      <c r="E914" s="37" t="s">
        <v>59</v>
      </c>
      <c r="F914" s="37" t="s">
        <v>1</v>
      </c>
      <c r="G914" s="38">
        <f>G915</f>
        <v>105363.54</v>
      </c>
      <c r="H914" s="38"/>
    </row>
    <row r="915" spans="1:8" ht="94.5" outlineLevel="7">
      <c r="A915" s="36" t="s">
        <v>704</v>
      </c>
      <c r="B915" s="37" t="s">
        <v>717</v>
      </c>
      <c r="C915" s="37" t="s">
        <v>2</v>
      </c>
      <c r="D915" s="37" t="s">
        <v>22</v>
      </c>
      <c r="E915" s="37" t="s">
        <v>59</v>
      </c>
      <c r="F915" s="37" t="s">
        <v>10</v>
      </c>
      <c r="G915" s="38">
        <v>105363.54</v>
      </c>
      <c r="H915" s="38"/>
    </row>
    <row r="916" spans="1:9" s="35" customFormat="1" ht="31.5" outlineLevel="4">
      <c r="A916" s="32" t="s">
        <v>609</v>
      </c>
      <c r="B916" s="33" t="s">
        <v>717</v>
      </c>
      <c r="C916" s="33" t="s">
        <v>2</v>
      </c>
      <c r="D916" s="33" t="s">
        <v>22</v>
      </c>
      <c r="E916" s="33" t="s">
        <v>7</v>
      </c>
      <c r="F916" s="33" t="s">
        <v>1</v>
      </c>
      <c r="G916" s="34">
        <f>G917+G921</f>
        <v>130109.95</v>
      </c>
      <c r="H916" s="34"/>
      <c r="I916" s="106"/>
    </row>
    <row r="917" spans="1:8" ht="63" outlineLevel="5">
      <c r="A917" s="36" t="s">
        <v>723</v>
      </c>
      <c r="B917" s="37" t="s">
        <v>717</v>
      </c>
      <c r="C917" s="37" t="s">
        <v>2</v>
      </c>
      <c r="D917" s="37" t="s">
        <v>22</v>
      </c>
      <c r="E917" s="37" t="s">
        <v>15</v>
      </c>
      <c r="F917" s="37" t="s">
        <v>1</v>
      </c>
      <c r="G917" s="38">
        <f>G918</f>
        <v>81209.95</v>
      </c>
      <c r="H917" s="38"/>
    </row>
    <row r="918" spans="1:8" ht="31.5" outlineLevel="6">
      <c r="A918" s="36" t="s">
        <v>430</v>
      </c>
      <c r="B918" s="37" t="s">
        <v>717</v>
      </c>
      <c r="C918" s="37" t="s">
        <v>2</v>
      </c>
      <c r="D918" s="37" t="s">
        <v>22</v>
      </c>
      <c r="E918" s="37" t="s">
        <v>16</v>
      </c>
      <c r="F918" s="37" t="s">
        <v>1</v>
      </c>
      <c r="G918" s="38">
        <f>G919+G920</f>
        <v>81209.95</v>
      </c>
      <c r="H918" s="38"/>
    </row>
    <row r="919" spans="1:8" ht="94.5" outlineLevel="7">
      <c r="A919" s="36" t="s">
        <v>704</v>
      </c>
      <c r="B919" s="37" t="s">
        <v>717</v>
      </c>
      <c r="C919" s="37" t="s">
        <v>2</v>
      </c>
      <c r="D919" s="37" t="s">
        <v>22</v>
      </c>
      <c r="E919" s="37" t="s">
        <v>16</v>
      </c>
      <c r="F919" s="37" t="s">
        <v>10</v>
      </c>
      <c r="G919" s="38">
        <v>34296.95</v>
      </c>
      <c r="H919" s="38"/>
    </row>
    <row r="920" spans="1:8" ht="31.5" outlineLevel="7">
      <c r="A920" s="36" t="s">
        <v>689</v>
      </c>
      <c r="B920" s="37" t="s">
        <v>717</v>
      </c>
      <c r="C920" s="37" t="s">
        <v>2</v>
      </c>
      <c r="D920" s="37" t="s">
        <v>22</v>
      </c>
      <c r="E920" s="37" t="s">
        <v>16</v>
      </c>
      <c r="F920" s="37" t="s">
        <v>17</v>
      </c>
      <c r="G920" s="38">
        <v>46913</v>
      </c>
      <c r="H920" s="38"/>
    </row>
    <row r="921" spans="1:8" ht="15.75" outlineLevel="5">
      <c r="A921" s="36" t="s">
        <v>724</v>
      </c>
      <c r="B921" s="37" t="s">
        <v>717</v>
      </c>
      <c r="C921" s="37" t="s">
        <v>2</v>
      </c>
      <c r="D921" s="37" t="s">
        <v>22</v>
      </c>
      <c r="E921" s="37" t="s">
        <v>18</v>
      </c>
      <c r="F921" s="37" t="s">
        <v>1</v>
      </c>
      <c r="G921" s="38">
        <f>G922</f>
        <v>48900</v>
      </c>
      <c r="H921" s="38"/>
    </row>
    <row r="922" spans="1:8" ht="31.5" outlineLevel="6">
      <c r="A922" s="36" t="s">
        <v>430</v>
      </c>
      <c r="B922" s="37" t="s">
        <v>717</v>
      </c>
      <c r="C922" s="37" t="s">
        <v>2</v>
      </c>
      <c r="D922" s="37" t="s">
        <v>22</v>
      </c>
      <c r="E922" s="37" t="s">
        <v>19</v>
      </c>
      <c r="F922" s="37" t="s">
        <v>1</v>
      </c>
      <c r="G922" s="38">
        <f>G923</f>
        <v>48900</v>
      </c>
      <c r="H922" s="38"/>
    </row>
    <row r="923" spans="1:8" ht="31.5" outlineLevel="7">
      <c r="A923" s="36" t="s">
        <v>689</v>
      </c>
      <c r="B923" s="37" t="s">
        <v>717</v>
      </c>
      <c r="C923" s="37" t="s">
        <v>2</v>
      </c>
      <c r="D923" s="37" t="s">
        <v>22</v>
      </c>
      <c r="E923" s="37" t="s">
        <v>19</v>
      </c>
      <c r="F923" s="37" t="s">
        <v>17</v>
      </c>
      <c r="G923" s="38">
        <v>48900</v>
      </c>
      <c r="H923" s="38"/>
    </row>
    <row r="924" spans="1:9" s="35" customFormat="1" ht="15.75" outlineLevel="2">
      <c r="A924" s="32" t="s">
        <v>664</v>
      </c>
      <c r="B924" s="33" t="s">
        <v>717</v>
      </c>
      <c r="C924" s="33" t="s">
        <v>2</v>
      </c>
      <c r="D924" s="33" t="s">
        <v>66</v>
      </c>
      <c r="E924" s="33" t="s">
        <v>4</v>
      </c>
      <c r="F924" s="33" t="s">
        <v>1</v>
      </c>
      <c r="G924" s="34">
        <f>G925</f>
        <v>262512.33</v>
      </c>
      <c r="H924" s="34"/>
      <c r="I924" s="106"/>
    </row>
    <row r="925" spans="1:9" s="35" customFormat="1" ht="47.25" outlineLevel="3">
      <c r="A925" s="32" t="s">
        <v>655</v>
      </c>
      <c r="B925" s="33" t="s">
        <v>717</v>
      </c>
      <c r="C925" s="33" t="s">
        <v>2</v>
      </c>
      <c r="D925" s="33" t="s">
        <v>66</v>
      </c>
      <c r="E925" s="33" t="s">
        <v>90</v>
      </c>
      <c r="F925" s="33" t="s">
        <v>1</v>
      </c>
      <c r="G925" s="34">
        <f>G926</f>
        <v>262512.33</v>
      </c>
      <c r="H925" s="34"/>
      <c r="I925" s="106"/>
    </row>
    <row r="926" spans="1:9" s="35" customFormat="1" ht="47.25" outlineLevel="4">
      <c r="A926" s="32" t="s">
        <v>620</v>
      </c>
      <c r="B926" s="33" t="s">
        <v>717</v>
      </c>
      <c r="C926" s="33" t="s">
        <v>2</v>
      </c>
      <c r="D926" s="33" t="s">
        <v>66</v>
      </c>
      <c r="E926" s="33" t="s">
        <v>91</v>
      </c>
      <c r="F926" s="33" t="s">
        <v>1</v>
      </c>
      <c r="G926" s="34">
        <f>G927</f>
        <v>262512.33</v>
      </c>
      <c r="H926" s="34"/>
      <c r="I926" s="106"/>
    </row>
    <row r="927" spans="1:8" ht="47.25" outlineLevel="5">
      <c r="A927" s="36" t="s">
        <v>726</v>
      </c>
      <c r="B927" s="37" t="s">
        <v>717</v>
      </c>
      <c r="C927" s="37" t="s">
        <v>2</v>
      </c>
      <c r="D927" s="37" t="s">
        <v>66</v>
      </c>
      <c r="E927" s="37" t="s">
        <v>94</v>
      </c>
      <c r="F927" s="37" t="s">
        <v>1</v>
      </c>
      <c r="G927" s="38">
        <f>G928</f>
        <v>262512.33</v>
      </c>
      <c r="H927" s="38"/>
    </row>
    <row r="928" spans="1:8" ht="31.5" outlineLevel="6">
      <c r="A928" s="36" t="s">
        <v>441</v>
      </c>
      <c r="B928" s="37" t="s">
        <v>717</v>
      </c>
      <c r="C928" s="37" t="s">
        <v>2</v>
      </c>
      <c r="D928" s="37" t="s">
        <v>66</v>
      </c>
      <c r="E928" s="37" t="s">
        <v>95</v>
      </c>
      <c r="F928" s="37" t="s">
        <v>1</v>
      </c>
      <c r="G928" s="38">
        <f>G929</f>
        <v>262512.33</v>
      </c>
      <c r="H928" s="38"/>
    </row>
    <row r="929" spans="1:8" ht="31.5" outlineLevel="7">
      <c r="A929" s="36" t="s">
        <v>689</v>
      </c>
      <c r="B929" s="37" t="s">
        <v>717</v>
      </c>
      <c r="C929" s="37" t="s">
        <v>2</v>
      </c>
      <c r="D929" s="37" t="s">
        <v>66</v>
      </c>
      <c r="E929" s="37" t="s">
        <v>95</v>
      </c>
      <c r="F929" s="37" t="s">
        <v>17</v>
      </c>
      <c r="G929" s="38">
        <v>262512.33</v>
      </c>
      <c r="H929" s="38"/>
    </row>
    <row r="930" spans="1:9" s="35" customFormat="1" ht="15.75" outlineLevel="1">
      <c r="A930" s="32" t="s">
        <v>696</v>
      </c>
      <c r="B930" s="33" t="s">
        <v>717</v>
      </c>
      <c r="C930" s="33" t="s">
        <v>239</v>
      </c>
      <c r="D930" s="33" t="s">
        <v>3</v>
      </c>
      <c r="E930" s="33" t="s">
        <v>4</v>
      </c>
      <c r="F930" s="33" t="s">
        <v>1</v>
      </c>
      <c r="G930" s="34">
        <f>G931+G956</f>
        <v>84815423.68</v>
      </c>
      <c r="H930" s="34">
        <f>H931</f>
        <v>789604.56</v>
      </c>
      <c r="I930" s="106"/>
    </row>
    <row r="931" spans="1:9" s="35" customFormat="1" ht="15.75" outlineLevel="2">
      <c r="A931" s="32" t="s">
        <v>678</v>
      </c>
      <c r="B931" s="33" t="s">
        <v>717</v>
      </c>
      <c r="C931" s="33" t="s">
        <v>239</v>
      </c>
      <c r="D931" s="33" t="s">
        <v>14</v>
      </c>
      <c r="E931" s="33" t="s">
        <v>4</v>
      </c>
      <c r="F931" s="33" t="s">
        <v>1</v>
      </c>
      <c r="G931" s="34">
        <f>G932+G951</f>
        <v>64716308.160000004</v>
      </c>
      <c r="H931" s="34">
        <f>H932</f>
        <v>789604.56</v>
      </c>
      <c r="I931" s="106"/>
    </row>
    <row r="932" spans="1:9" s="35" customFormat="1" ht="63" outlineLevel="3">
      <c r="A932" s="32" t="s">
        <v>657</v>
      </c>
      <c r="B932" s="33" t="s">
        <v>717</v>
      </c>
      <c r="C932" s="33" t="s">
        <v>239</v>
      </c>
      <c r="D932" s="33" t="s">
        <v>14</v>
      </c>
      <c r="E932" s="33" t="s">
        <v>279</v>
      </c>
      <c r="F932" s="33" t="s">
        <v>1</v>
      </c>
      <c r="G932" s="34">
        <f>G933</f>
        <v>64387129.160000004</v>
      </c>
      <c r="H932" s="34">
        <f>H933</f>
        <v>789604.56</v>
      </c>
      <c r="I932" s="106"/>
    </row>
    <row r="933" spans="1:9" s="35" customFormat="1" ht="47.25" outlineLevel="4">
      <c r="A933" s="32" t="s">
        <v>639</v>
      </c>
      <c r="B933" s="33" t="s">
        <v>717</v>
      </c>
      <c r="C933" s="33" t="s">
        <v>239</v>
      </c>
      <c r="D933" s="33" t="s">
        <v>14</v>
      </c>
      <c r="E933" s="33" t="s">
        <v>280</v>
      </c>
      <c r="F933" s="33" t="s">
        <v>1</v>
      </c>
      <c r="G933" s="34">
        <f>G934+G941+G948</f>
        <v>64387129.160000004</v>
      </c>
      <c r="H933" s="34">
        <f>H934+H941</f>
        <v>789604.56</v>
      </c>
      <c r="I933" s="106"/>
    </row>
    <row r="934" spans="1:8" ht="31.5" outlineLevel="5">
      <c r="A934" s="36" t="s">
        <v>808</v>
      </c>
      <c r="B934" s="37" t="s">
        <v>717</v>
      </c>
      <c r="C934" s="37" t="s">
        <v>239</v>
      </c>
      <c r="D934" s="37" t="s">
        <v>14</v>
      </c>
      <c r="E934" s="37" t="s">
        <v>281</v>
      </c>
      <c r="F934" s="37" t="s">
        <v>1</v>
      </c>
      <c r="G934" s="38">
        <f>G935+G937+G939</f>
        <v>43300440.22</v>
      </c>
      <c r="H934" s="38">
        <f>H937</f>
        <v>544827.14</v>
      </c>
    </row>
    <row r="935" spans="1:8" ht="78.75" outlineLevel="6">
      <c r="A935" s="36" t="s">
        <v>443</v>
      </c>
      <c r="B935" s="37" t="s">
        <v>717</v>
      </c>
      <c r="C935" s="37" t="s">
        <v>239</v>
      </c>
      <c r="D935" s="37" t="s">
        <v>14</v>
      </c>
      <c r="E935" s="37" t="s">
        <v>282</v>
      </c>
      <c r="F935" s="37" t="s">
        <v>1</v>
      </c>
      <c r="G935" s="38">
        <f>G936</f>
        <v>41030262.86</v>
      </c>
      <c r="H935" s="38"/>
    </row>
    <row r="936" spans="1:8" ht="47.25" outlineLevel="7">
      <c r="A936" s="36" t="s">
        <v>692</v>
      </c>
      <c r="B936" s="37" t="s">
        <v>717</v>
      </c>
      <c r="C936" s="37" t="s">
        <v>239</v>
      </c>
      <c r="D936" s="37" t="s">
        <v>14</v>
      </c>
      <c r="E936" s="37" t="s">
        <v>282</v>
      </c>
      <c r="F936" s="37" t="s">
        <v>70</v>
      </c>
      <c r="G936" s="38">
        <v>41030262.86</v>
      </c>
      <c r="H936" s="38"/>
    </row>
    <row r="937" spans="1:8" ht="78.75" outlineLevel="6">
      <c r="A937" s="36" t="s">
        <v>465</v>
      </c>
      <c r="B937" s="37" t="s">
        <v>717</v>
      </c>
      <c r="C937" s="37" t="s">
        <v>239</v>
      </c>
      <c r="D937" s="37" t="s">
        <v>14</v>
      </c>
      <c r="E937" s="37" t="s">
        <v>283</v>
      </c>
      <c r="F937" s="37" t="s">
        <v>1</v>
      </c>
      <c r="G937" s="38">
        <f>G938</f>
        <v>544827.14</v>
      </c>
      <c r="H937" s="38">
        <f>H938</f>
        <v>544827.14</v>
      </c>
    </row>
    <row r="938" spans="1:8" ht="47.25" outlineLevel="7">
      <c r="A938" s="36" t="s">
        <v>692</v>
      </c>
      <c r="B938" s="37" t="s">
        <v>717</v>
      </c>
      <c r="C938" s="37" t="s">
        <v>239</v>
      </c>
      <c r="D938" s="37" t="s">
        <v>14</v>
      </c>
      <c r="E938" s="37" t="s">
        <v>283</v>
      </c>
      <c r="F938" s="37" t="s">
        <v>70</v>
      </c>
      <c r="G938" s="38">
        <v>544827.14</v>
      </c>
      <c r="H938" s="38">
        <f>G938</f>
        <v>544827.14</v>
      </c>
    </row>
    <row r="939" spans="1:8" ht="78.75" outlineLevel="6">
      <c r="A939" s="36" t="s">
        <v>465</v>
      </c>
      <c r="B939" s="37" t="s">
        <v>717</v>
      </c>
      <c r="C939" s="37" t="s">
        <v>239</v>
      </c>
      <c r="D939" s="37" t="s">
        <v>14</v>
      </c>
      <c r="E939" s="37" t="s">
        <v>284</v>
      </c>
      <c r="F939" s="37" t="s">
        <v>1</v>
      </c>
      <c r="G939" s="38">
        <f>G940</f>
        <v>1725350.22</v>
      </c>
      <c r="H939" s="38"/>
    </row>
    <row r="940" spans="1:8" ht="47.25" outlineLevel="7">
      <c r="A940" s="36" t="s">
        <v>692</v>
      </c>
      <c r="B940" s="37" t="s">
        <v>717</v>
      </c>
      <c r="C940" s="37" t="s">
        <v>239</v>
      </c>
      <c r="D940" s="37" t="s">
        <v>14</v>
      </c>
      <c r="E940" s="37" t="s">
        <v>284</v>
      </c>
      <c r="F940" s="37" t="s">
        <v>70</v>
      </c>
      <c r="G940" s="38">
        <v>1725350.22</v>
      </c>
      <c r="H940" s="38"/>
    </row>
    <row r="941" spans="1:8" ht="47.25" outlineLevel="5">
      <c r="A941" s="36" t="s">
        <v>809</v>
      </c>
      <c r="B941" s="37" t="s">
        <v>717</v>
      </c>
      <c r="C941" s="37" t="s">
        <v>239</v>
      </c>
      <c r="D941" s="37" t="s">
        <v>14</v>
      </c>
      <c r="E941" s="37" t="s">
        <v>285</v>
      </c>
      <c r="F941" s="37" t="s">
        <v>1</v>
      </c>
      <c r="G941" s="38">
        <f>G942+G944+G946</f>
        <v>20043383.910000004</v>
      </c>
      <c r="H941" s="38">
        <f>H944</f>
        <v>244777.42</v>
      </c>
    </row>
    <row r="942" spans="1:8" ht="78.75" outlineLevel="6">
      <c r="A942" s="36" t="s">
        <v>443</v>
      </c>
      <c r="B942" s="37" t="s">
        <v>717</v>
      </c>
      <c r="C942" s="37" t="s">
        <v>239</v>
      </c>
      <c r="D942" s="37" t="s">
        <v>14</v>
      </c>
      <c r="E942" s="37" t="s">
        <v>286</v>
      </c>
      <c r="F942" s="37" t="s">
        <v>1</v>
      </c>
      <c r="G942" s="38">
        <f>G943</f>
        <v>19023449.14</v>
      </c>
      <c r="H942" s="38"/>
    </row>
    <row r="943" spans="1:8" ht="47.25" outlineLevel="7">
      <c r="A943" s="36" t="s">
        <v>692</v>
      </c>
      <c r="B943" s="37" t="s">
        <v>717</v>
      </c>
      <c r="C943" s="37" t="s">
        <v>239</v>
      </c>
      <c r="D943" s="37" t="s">
        <v>14</v>
      </c>
      <c r="E943" s="37" t="s">
        <v>286</v>
      </c>
      <c r="F943" s="37" t="s">
        <v>70</v>
      </c>
      <c r="G943" s="38">
        <v>19023449.14</v>
      </c>
      <c r="H943" s="38"/>
    </row>
    <row r="944" spans="1:8" ht="78.75" outlineLevel="6">
      <c r="A944" s="36" t="s">
        <v>465</v>
      </c>
      <c r="B944" s="37" t="s">
        <v>717</v>
      </c>
      <c r="C944" s="37" t="s">
        <v>239</v>
      </c>
      <c r="D944" s="37" t="s">
        <v>14</v>
      </c>
      <c r="E944" s="37" t="s">
        <v>287</v>
      </c>
      <c r="F944" s="37" t="s">
        <v>1</v>
      </c>
      <c r="G944" s="38">
        <f>G945</f>
        <v>244777.42</v>
      </c>
      <c r="H944" s="38">
        <f>H945</f>
        <v>244777.42</v>
      </c>
    </row>
    <row r="945" spans="1:8" ht="47.25" outlineLevel="7">
      <c r="A945" s="36" t="s">
        <v>692</v>
      </c>
      <c r="B945" s="37" t="s">
        <v>717</v>
      </c>
      <c r="C945" s="37" t="s">
        <v>239</v>
      </c>
      <c r="D945" s="37" t="s">
        <v>14</v>
      </c>
      <c r="E945" s="37" t="s">
        <v>287</v>
      </c>
      <c r="F945" s="37" t="s">
        <v>70</v>
      </c>
      <c r="G945" s="38">
        <v>244777.42</v>
      </c>
      <c r="H945" s="38">
        <f>G945</f>
        <v>244777.42</v>
      </c>
    </row>
    <row r="946" spans="1:8" ht="78.75" outlineLevel="6">
      <c r="A946" s="36" t="s">
        <v>465</v>
      </c>
      <c r="B946" s="37" t="s">
        <v>717</v>
      </c>
      <c r="C946" s="37" t="s">
        <v>239</v>
      </c>
      <c r="D946" s="37" t="s">
        <v>14</v>
      </c>
      <c r="E946" s="37" t="s">
        <v>288</v>
      </c>
      <c r="F946" s="37" t="s">
        <v>1</v>
      </c>
      <c r="G946" s="38">
        <f>G947</f>
        <v>775157.35</v>
      </c>
      <c r="H946" s="38"/>
    </row>
    <row r="947" spans="1:8" ht="47.25" outlineLevel="7">
      <c r="A947" s="36" t="s">
        <v>692</v>
      </c>
      <c r="B947" s="37" t="s">
        <v>717</v>
      </c>
      <c r="C947" s="37" t="s">
        <v>239</v>
      </c>
      <c r="D947" s="37" t="s">
        <v>14</v>
      </c>
      <c r="E947" s="37" t="s">
        <v>288</v>
      </c>
      <c r="F947" s="37" t="s">
        <v>70</v>
      </c>
      <c r="G947" s="38">
        <v>775157.35</v>
      </c>
      <c r="H947" s="38"/>
    </row>
    <row r="948" spans="1:8" ht="31.5" outlineLevel="5">
      <c r="A948" s="36" t="s">
        <v>786</v>
      </c>
      <c r="B948" s="37" t="s">
        <v>717</v>
      </c>
      <c r="C948" s="37" t="s">
        <v>239</v>
      </c>
      <c r="D948" s="37" t="s">
        <v>14</v>
      </c>
      <c r="E948" s="37" t="s">
        <v>289</v>
      </c>
      <c r="F948" s="37" t="s">
        <v>1</v>
      </c>
      <c r="G948" s="38">
        <f>G949</f>
        <v>1043305.03</v>
      </c>
      <c r="H948" s="38"/>
    </row>
    <row r="949" spans="1:8" ht="78.75" outlineLevel="6">
      <c r="A949" s="36" t="s">
        <v>432</v>
      </c>
      <c r="B949" s="37" t="s">
        <v>717</v>
      </c>
      <c r="C949" s="37" t="s">
        <v>239</v>
      </c>
      <c r="D949" s="37" t="s">
        <v>14</v>
      </c>
      <c r="E949" s="37" t="s">
        <v>290</v>
      </c>
      <c r="F949" s="37" t="s">
        <v>1</v>
      </c>
      <c r="G949" s="38">
        <f>G950</f>
        <v>1043305.03</v>
      </c>
      <c r="H949" s="38"/>
    </row>
    <row r="950" spans="1:8" ht="47.25" outlineLevel="7">
      <c r="A950" s="36" t="s">
        <v>692</v>
      </c>
      <c r="B950" s="37" t="s">
        <v>717</v>
      </c>
      <c r="C950" s="37" t="s">
        <v>239</v>
      </c>
      <c r="D950" s="37" t="s">
        <v>14</v>
      </c>
      <c r="E950" s="37" t="s">
        <v>290</v>
      </c>
      <c r="F950" s="37" t="s">
        <v>70</v>
      </c>
      <c r="G950" s="38">
        <f>1032524+10781.03</f>
        <v>1043305.03</v>
      </c>
      <c r="H950" s="38"/>
    </row>
    <row r="951" spans="1:9" s="35" customFormat="1" ht="47.25" outlineLevel="3">
      <c r="A951" s="32" t="s">
        <v>655</v>
      </c>
      <c r="B951" s="33" t="s">
        <v>717</v>
      </c>
      <c r="C951" s="33" t="s">
        <v>239</v>
      </c>
      <c r="D951" s="33" t="s">
        <v>14</v>
      </c>
      <c r="E951" s="33" t="s">
        <v>90</v>
      </c>
      <c r="F951" s="33" t="s">
        <v>1</v>
      </c>
      <c r="G951" s="34">
        <f>G952</f>
        <v>329179</v>
      </c>
      <c r="H951" s="34"/>
      <c r="I951" s="106"/>
    </row>
    <row r="952" spans="1:9" s="35" customFormat="1" ht="47.25" outlineLevel="4">
      <c r="A952" s="32" t="s">
        <v>620</v>
      </c>
      <c r="B952" s="33" t="s">
        <v>717</v>
      </c>
      <c r="C952" s="33" t="s">
        <v>239</v>
      </c>
      <c r="D952" s="33" t="s">
        <v>14</v>
      </c>
      <c r="E952" s="33" t="s">
        <v>91</v>
      </c>
      <c r="F952" s="33" t="s">
        <v>1</v>
      </c>
      <c r="G952" s="34">
        <f>G953</f>
        <v>329179</v>
      </c>
      <c r="H952" s="34"/>
      <c r="I952" s="106"/>
    </row>
    <row r="953" spans="1:8" ht="31.5" outlineLevel="5">
      <c r="A953" s="36" t="s">
        <v>734</v>
      </c>
      <c r="B953" s="37" t="s">
        <v>717</v>
      </c>
      <c r="C953" s="37" t="s">
        <v>239</v>
      </c>
      <c r="D953" s="37" t="s">
        <v>14</v>
      </c>
      <c r="E953" s="37" t="s">
        <v>100</v>
      </c>
      <c r="F953" s="37" t="s">
        <v>1</v>
      </c>
      <c r="G953" s="38">
        <f>G954</f>
        <v>329179</v>
      </c>
      <c r="H953" s="38"/>
    </row>
    <row r="954" spans="1:8" ht="31.5" outlineLevel="6">
      <c r="A954" s="36" t="s">
        <v>441</v>
      </c>
      <c r="B954" s="37" t="s">
        <v>717</v>
      </c>
      <c r="C954" s="37" t="s">
        <v>239</v>
      </c>
      <c r="D954" s="37" t="s">
        <v>14</v>
      </c>
      <c r="E954" s="37" t="s">
        <v>101</v>
      </c>
      <c r="F954" s="37" t="s">
        <v>1</v>
      </c>
      <c r="G954" s="38">
        <f>G955</f>
        <v>329179</v>
      </c>
      <c r="H954" s="38"/>
    </row>
    <row r="955" spans="1:8" ht="47.25" outlineLevel="7">
      <c r="A955" s="36" t="s">
        <v>692</v>
      </c>
      <c r="B955" s="37" t="s">
        <v>717</v>
      </c>
      <c r="C955" s="37" t="s">
        <v>239</v>
      </c>
      <c r="D955" s="37" t="s">
        <v>14</v>
      </c>
      <c r="E955" s="37" t="s">
        <v>101</v>
      </c>
      <c r="F955" s="37" t="s">
        <v>70</v>
      </c>
      <c r="G955" s="38">
        <v>329179</v>
      </c>
      <c r="H955" s="38"/>
    </row>
    <row r="956" spans="1:9" s="35" customFormat="1" ht="15.75" outlineLevel="2">
      <c r="A956" s="32" t="s">
        <v>679</v>
      </c>
      <c r="B956" s="33" t="s">
        <v>717</v>
      </c>
      <c r="C956" s="33" t="s">
        <v>239</v>
      </c>
      <c r="D956" s="33" t="s">
        <v>239</v>
      </c>
      <c r="E956" s="33" t="s">
        <v>4</v>
      </c>
      <c r="F956" s="33" t="s">
        <v>1</v>
      </c>
      <c r="G956" s="34">
        <f>G957+G984</f>
        <v>20099115.52</v>
      </c>
      <c r="H956" s="34"/>
      <c r="I956" s="106"/>
    </row>
    <row r="957" spans="1:9" s="35" customFormat="1" ht="63" outlineLevel="3">
      <c r="A957" s="32" t="s">
        <v>658</v>
      </c>
      <c r="B957" s="33" t="s">
        <v>717</v>
      </c>
      <c r="C957" s="33" t="s">
        <v>239</v>
      </c>
      <c r="D957" s="33" t="s">
        <v>239</v>
      </c>
      <c r="E957" s="33" t="s">
        <v>297</v>
      </c>
      <c r="F957" s="33" t="s">
        <v>1</v>
      </c>
      <c r="G957" s="34">
        <f>G958+G974</f>
        <v>19904177.52</v>
      </c>
      <c r="H957" s="34"/>
      <c r="I957" s="106"/>
    </row>
    <row r="958" spans="1:9" s="35" customFormat="1" ht="31.5" outlineLevel="4">
      <c r="A958" s="32" t="s">
        <v>641</v>
      </c>
      <c r="B958" s="33" t="s">
        <v>717</v>
      </c>
      <c r="C958" s="33" t="s">
        <v>239</v>
      </c>
      <c r="D958" s="33" t="s">
        <v>239</v>
      </c>
      <c r="E958" s="33" t="s">
        <v>298</v>
      </c>
      <c r="F958" s="33" t="s">
        <v>1</v>
      </c>
      <c r="G958" s="34">
        <f>G959+G963+G968+G971</f>
        <v>846250</v>
      </c>
      <c r="H958" s="34"/>
      <c r="I958" s="106"/>
    </row>
    <row r="959" spans="1:8" ht="47.25" outlineLevel="5">
      <c r="A959" s="36" t="s">
        <v>810</v>
      </c>
      <c r="B959" s="37" t="s">
        <v>717</v>
      </c>
      <c r="C959" s="37" t="s">
        <v>239</v>
      </c>
      <c r="D959" s="37" t="s">
        <v>239</v>
      </c>
      <c r="E959" s="37" t="s">
        <v>299</v>
      </c>
      <c r="F959" s="37" t="s">
        <v>1</v>
      </c>
      <c r="G959" s="38">
        <f>G960</f>
        <v>436250</v>
      </c>
      <c r="H959" s="38"/>
    </row>
    <row r="960" spans="1:8" ht="31.5" outlineLevel="6">
      <c r="A960" s="36" t="s">
        <v>441</v>
      </c>
      <c r="B960" s="37" t="s">
        <v>717</v>
      </c>
      <c r="C960" s="37" t="s">
        <v>239</v>
      </c>
      <c r="D960" s="37" t="s">
        <v>239</v>
      </c>
      <c r="E960" s="37" t="s">
        <v>300</v>
      </c>
      <c r="F960" s="37" t="s">
        <v>1</v>
      </c>
      <c r="G960" s="38">
        <f>G962+G961</f>
        <v>436250</v>
      </c>
      <c r="H960" s="38"/>
    </row>
    <row r="961" spans="1:8" ht="31.5" outlineLevel="7">
      <c r="A961" s="36" t="s">
        <v>689</v>
      </c>
      <c r="B961" s="37" t="s">
        <v>717</v>
      </c>
      <c r="C961" s="37" t="s">
        <v>239</v>
      </c>
      <c r="D961" s="37" t="s">
        <v>239</v>
      </c>
      <c r="E961" s="37" t="s">
        <v>300</v>
      </c>
      <c r="F961" s="37" t="s">
        <v>17</v>
      </c>
      <c r="G961" s="38">
        <v>236250</v>
      </c>
      <c r="H961" s="38"/>
    </row>
    <row r="962" spans="1:8" ht="47.25" outlineLevel="7">
      <c r="A962" s="36" t="s">
        <v>692</v>
      </c>
      <c r="B962" s="37" t="s">
        <v>717</v>
      </c>
      <c r="C962" s="37" t="s">
        <v>239</v>
      </c>
      <c r="D962" s="37" t="s">
        <v>239</v>
      </c>
      <c r="E962" s="37" t="s">
        <v>300</v>
      </c>
      <c r="F962" s="37" t="s">
        <v>70</v>
      </c>
      <c r="G962" s="38">
        <v>200000</v>
      </c>
      <c r="H962" s="38"/>
    </row>
    <row r="963" spans="1:8" ht="78.75" outlineLevel="5">
      <c r="A963" s="36" t="s">
        <v>811</v>
      </c>
      <c r="B963" s="37" t="s">
        <v>717</v>
      </c>
      <c r="C963" s="37" t="s">
        <v>239</v>
      </c>
      <c r="D963" s="37" t="s">
        <v>239</v>
      </c>
      <c r="E963" s="37" t="s">
        <v>301</v>
      </c>
      <c r="F963" s="37" t="s">
        <v>1</v>
      </c>
      <c r="G963" s="38">
        <f>G964</f>
        <v>105000</v>
      </c>
      <c r="H963" s="38"/>
    </row>
    <row r="964" spans="1:8" ht="31.5" outlineLevel="6">
      <c r="A964" s="36" t="s">
        <v>441</v>
      </c>
      <c r="B964" s="37" t="s">
        <v>717</v>
      </c>
      <c r="C964" s="37" t="s">
        <v>239</v>
      </c>
      <c r="D964" s="37" t="s">
        <v>239</v>
      </c>
      <c r="E964" s="37" t="s">
        <v>302</v>
      </c>
      <c r="F964" s="37" t="s">
        <v>1</v>
      </c>
      <c r="G964" s="38">
        <f>G967+G966+G965</f>
        <v>105000</v>
      </c>
      <c r="H964" s="38"/>
    </row>
    <row r="965" spans="1:8" ht="94.5" outlineLevel="7">
      <c r="A965" s="36" t="s">
        <v>704</v>
      </c>
      <c r="B965" s="37" t="s">
        <v>717</v>
      </c>
      <c r="C965" s="37" t="s">
        <v>239</v>
      </c>
      <c r="D965" s="37" t="s">
        <v>239</v>
      </c>
      <c r="E965" s="37" t="s">
        <v>302</v>
      </c>
      <c r="F965" s="37" t="s">
        <v>10</v>
      </c>
      <c r="G965" s="38">
        <v>30000</v>
      </c>
      <c r="H965" s="38"/>
    </row>
    <row r="966" spans="1:8" ht="31.5" outlineLevel="7">
      <c r="A966" s="36" t="s">
        <v>689</v>
      </c>
      <c r="B966" s="37" t="s">
        <v>717</v>
      </c>
      <c r="C966" s="37" t="s">
        <v>239</v>
      </c>
      <c r="D966" s="37" t="s">
        <v>239</v>
      </c>
      <c r="E966" s="37" t="s">
        <v>302</v>
      </c>
      <c r="F966" s="37" t="s">
        <v>17</v>
      </c>
      <c r="G966" s="38">
        <v>30000</v>
      </c>
      <c r="H966" s="38"/>
    </row>
    <row r="967" spans="1:8" ht="47.25" outlineLevel="7">
      <c r="A967" s="36" t="s">
        <v>692</v>
      </c>
      <c r="B967" s="37" t="s">
        <v>717</v>
      </c>
      <c r="C967" s="37" t="s">
        <v>239</v>
      </c>
      <c r="D967" s="37" t="s">
        <v>239</v>
      </c>
      <c r="E967" s="37" t="s">
        <v>302</v>
      </c>
      <c r="F967" s="37" t="s">
        <v>70</v>
      </c>
      <c r="G967" s="38">
        <v>45000</v>
      </c>
      <c r="H967" s="38"/>
    </row>
    <row r="968" spans="1:8" ht="31.5" outlineLevel="5">
      <c r="A968" s="36" t="s">
        <v>812</v>
      </c>
      <c r="B968" s="37" t="s">
        <v>717</v>
      </c>
      <c r="C968" s="37" t="s">
        <v>239</v>
      </c>
      <c r="D968" s="37" t="s">
        <v>239</v>
      </c>
      <c r="E968" s="37" t="s">
        <v>303</v>
      </c>
      <c r="F968" s="37" t="s">
        <v>1</v>
      </c>
      <c r="G968" s="38">
        <f>G969</f>
        <v>5000</v>
      </c>
      <c r="H968" s="38"/>
    </row>
    <row r="969" spans="1:8" ht="31.5" outlineLevel="6">
      <c r="A969" s="36" t="s">
        <v>441</v>
      </c>
      <c r="B969" s="37" t="s">
        <v>717</v>
      </c>
      <c r="C969" s="37" t="s">
        <v>239</v>
      </c>
      <c r="D969" s="37" t="s">
        <v>239</v>
      </c>
      <c r="E969" s="37" t="s">
        <v>304</v>
      </c>
      <c r="F969" s="37" t="s">
        <v>1</v>
      </c>
      <c r="G969" s="38">
        <f>G970</f>
        <v>5000</v>
      </c>
      <c r="H969" s="38"/>
    </row>
    <row r="970" spans="1:8" ht="31.5" outlineLevel="7">
      <c r="A970" s="36" t="s">
        <v>689</v>
      </c>
      <c r="B970" s="37" t="s">
        <v>717</v>
      </c>
      <c r="C970" s="37" t="s">
        <v>239</v>
      </c>
      <c r="D970" s="37" t="s">
        <v>239</v>
      </c>
      <c r="E970" s="37" t="s">
        <v>304</v>
      </c>
      <c r="F970" s="37" t="s">
        <v>17</v>
      </c>
      <c r="G970" s="38">
        <v>5000</v>
      </c>
      <c r="H970" s="38"/>
    </row>
    <row r="971" spans="1:8" ht="47.25" outlineLevel="5">
      <c r="A971" s="36" t="s">
        <v>813</v>
      </c>
      <c r="B971" s="37" t="s">
        <v>717</v>
      </c>
      <c r="C971" s="37" t="s">
        <v>239</v>
      </c>
      <c r="D971" s="37" t="s">
        <v>239</v>
      </c>
      <c r="E971" s="37" t="s">
        <v>305</v>
      </c>
      <c r="F971" s="37" t="s">
        <v>1</v>
      </c>
      <c r="G971" s="38">
        <f>G972</f>
        <v>300000</v>
      </c>
      <c r="H971" s="38"/>
    </row>
    <row r="972" spans="1:8" ht="31.5" outlineLevel="6">
      <c r="A972" s="36" t="s">
        <v>469</v>
      </c>
      <c r="B972" s="37" t="s">
        <v>717</v>
      </c>
      <c r="C972" s="37" t="s">
        <v>239</v>
      </c>
      <c r="D972" s="37" t="s">
        <v>239</v>
      </c>
      <c r="E972" s="37" t="s">
        <v>306</v>
      </c>
      <c r="F972" s="37" t="s">
        <v>1</v>
      </c>
      <c r="G972" s="38">
        <f>G973</f>
        <v>300000</v>
      </c>
      <c r="H972" s="38"/>
    </row>
    <row r="973" spans="1:8" ht="31.5" outlineLevel="7">
      <c r="A973" s="36" t="s">
        <v>690</v>
      </c>
      <c r="B973" s="37" t="s">
        <v>717</v>
      </c>
      <c r="C973" s="37" t="s">
        <v>239</v>
      </c>
      <c r="D973" s="37" t="s">
        <v>239</v>
      </c>
      <c r="E973" s="37" t="s">
        <v>306</v>
      </c>
      <c r="F973" s="37" t="s">
        <v>47</v>
      </c>
      <c r="G973" s="38">
        <v>300000</v>
      </c>
      <c r="H973" s="38"/>
    </row>
    <row r="974" spans="1:9" s="35" customFormat="1" ht="31.5" outlineLevel="4">
      <c r="A974" s="32" t="s">
        <v>642</v>
      </c>
      <c r="B974" s="33" t="s">
        <v>717</v>
      </c>
      <c r="C974" s="33" t="s">
        <v>239</v>
      </c>
      <c r="D974" s="33" t="s">
        <v>239</v>
      </c>
      <c r="E974" s="33" t="s">
        <v>307</v>
      </c>
      <c r="F974" s="33" t="s">
        <v>1</v>
      </c>
      <c r="G974" s="34">
        <f>G975+G978+G981</f>
        <v>19057927.52</v>
      </c>
      <c r="H974" s="34"/>
      <c r="I974" s="106"/>
    </row>
    <row r="975" spans="1:8" ht="94.5" outlineLevel="5">
      <c r="A975" s="36" t="s">
        <v>814</v>
      </c>
      <c r="B975" s="37" t="s">
        <v>717</v>
      </c>
      <c r="C975" s="37" t="s">
        <v>239</v>
      </c>
      <c r="D975" s="37" t="s">
        <v>239</v>
      </c>
      <c r="E975" s="37" t="s">
        <v>308</v>
      </c>
      <c r="F975" s="37" t="s">
        <v>1</v>
      </c>
      <c r="G975" s="38">
        <f>G976</f>
        <v>75972</v>
      </c>
      <c r="H975" s="38"/>
    </row>
    <row r="976" spans="1:8" ht="78.75" outlineLevel="6">
      <c r="A976" s="36" t="s">
        <v>443</v>
      </c>
      <c r="B976" s="37" t="s">
        <v>717</v>
      </c>
      <c r="C976" s="37" t="s">
        <v>239</v>
      </c>
      <c r="D976" s="37" t="s">
        <v>239</v>
      </c>
      <c r="E976" s="37" t="s">
        <v>309</v>
      </c>
      <c r="F976" s="37" t="s">
        <v>1</v>
      </c>
      <c r="G976" s="38">
        <f>G977</f>
        <v>75972</v>
      </c>
      <c r="H976" s="38"/>
    </row>
    <row r="977" spans="1:8" ht="47.25" outlineLevel="7">
      <c r="A977" s="36" t="s">
        <v>692</v>
      </c>
      <c r="B977" s="37" t="s">
        <v>717</v>
      </c>
      <c r="C977" s="37" t="s">
        <v>239</v>
      </c>
      <c r="D977" s="37" t="s">
        <v>239</v>
      </c>
      <c r="E977" s="37" t="s">
        <v>309</v>
      </c>
      <c r="F977" s="37" t="s">
        <v>70</v>
      </c>
      <c r="G977" s="38">
        <v>75972</v>
      </c>
      <c r="H977" s="38"/>
    </row>
    <row r="978" spans="1:8" ht="126" outlineLevel="5">
      <c r="A978" s="36" t="s">
        <v>815</v>
      </c>
      <c r="B978" s="37" t="s">
        <v>717</v>
      </c>
      <c r="C978" s="37" t="s">
        <v>239</v>
      </c>
      <c r="D978" s="37" t="s">
        <v>239</v>
      </c>
      <c r="E978" s="37" t="s">
        <v>310</v>
      </c>
      <c r="F978" s="37" t="s">
        <v>1</v>
      </c>
      <c r="G978" s="38">
        <f>G979</f>
        <v>18708017</v>
      </c>
      <c r="H978" s="38"/>
    </row>
    <row r="979" spans="1:8" ht="78.75" outlineLevel="6">
      <c r="A979" s="36" t="s">
        <v>443</v>
      </c>
      <c r="B979" s="37" t="s">
        <v>717</v>
      </c>
      <c r="C979" s="37" t="s">
        <v>239</v>
      </c>
      <c r="D979" s="37" t="s">
        <v>239</v>
      </c>
      <c r="E979" s="37" t="s">
        <v>311</v>
      </c>
      <c r="F979" s="37" t="s">
        <v>1</v>
      </c>
      <c r="G979" s="38">
        <f>G980</f>
        <v>18708017</v>
      </c>
      <c r="H979" s="38"/>
    </row>
    <row r="980" spans="1:8" ht="47.25" outlineLevel="7">
      <c r="A980" s="36" t="s">
        <v>692</v>
      </c>
      <c r="B980" s="37" t="s">
        <v>717</v>
      </c>
      <c r="C980" s="37" t="s">
        <v>239</v>
      </c>
      <c r="D980" s="37" t="s">
        <v>239</v>
      </c>
      <c r="E980" s="37" t="s">
        <v>311</v>
      </c>
      <c r="F980" s="37" t="s">
        <v>70</v>
      </c>
      <c r="G980" s="38">
        <v>18708017</v>
      </c>
      <c r="H980" s="38"/>
    </row>
    <row r="981" spans="1:8" ht="31.5" outlineLevel="5">
      <c r="A981" s="36" t="s">
        <v>786</v>
      </c>
      <c r="B981" s="37" t="s">
        <v>717</v>
      </c>
      <c r="C981" s="37" t="s">
        <v>239</v>
      </c>
      <c r="D981" s="37" t="s">
        <v>239</v>
      </c>
      <c r="E981" s="37" t="s">
        <v>312</v>
      </c>
      <c r="F981" s="37" t="s">
        <v>1</v>
      </c>
      <c r="G981" s="38">
        <f>G982</f>
        <v>273938.52</v>
      </c>
      <c r="H981" s="38"/>
    </row>
    <row r="982" spans="1:8" ht="78.75" outlineLevel="6">
      <c r="A982" s="36" t="s">
        <v>432</v>
      </c>
      <c r="B982" s="37" t="s">
        <v>717</v>
      </c>
      <c r="C982" s="37" t="s">
        <v>239</v>
      </c>
      <c r="D982" s="37" t="s">
        <v>239</v>
      </c>
      <c r="E982" s="37" t="s">
        <v>313</v>
      </c>
      <c r="F982" s="37" t="s">
        <v>1</v>
      </c>
      <c r="G982" s="38">
        <f>G983</f>
        <v>273938.52</v>
      </c>
      <c r="H982" s="38"/>
    </row>
    <row r="983" spans="1:8" ht="47.25" outlineLevel="7">
      <c r="A983" s="36" t="s">
        <v>692</v>
      </c>
      <c r="B983" s="37" t="s">
        <v>717</v>
      </c>
      <c r="C983" s="37" t="s">
        <v>239</v>
      </c>
      <c r="D983" s="37" t="s">
        <v>239</v>
      </c>
      <c r="E983" s="37" t="s">
        <v>313</v>
      </c>
      <c r="F983" s="37" t="s">
        <v>70</v>
      </c>
      <c r="G983" s="38">
        <f>205833+68105.52</f>
        <v>273938.52</v>
      </c>
      <c r="H983" s="38"/>
    </row>
    <row r="984" spans="1:9" s="35" customFormat="1" ht="47.25" outlineLevel="3">
      <c r="A984" s="32" t="s">
        <v>655</v>
      </c>
      <c r="B984" s="33" t="s">
        <v>717</v>
      </c>
      <c r="C984" s="33" t="s">
        <v>239</v>
      </c>
      <c r="D984" s="33" t="s">
        <v>239</v>
      </c>
      <c r="E984" s="33" t="s">
        <v>90</v>
      </c>
      <c r="F984" s="33" t="s">
        <v>1</v>
      </c>
      <c r="G984" s="34">
        <f>G985</f>
        <v>194938</v>
      </c>
      <c r="H984" s="34"/>
      <c r="I984" s="106"/>
    </row>
    <row r="985" spans="1:9" s="35" customFormat="1" ht="47.25" outlineLevel="4">
      <c r="A985" s="32" t="s">
        <v>620</v>
      </c>
      <c r="B985" s="33" t="s">
        <v>717</v>
      </c>
      <c r="C985" s="33" t="s">
        <v>239</v>
      </c>
      <c r="D985" s="33" t="s">
        <v>239</v>
      </c>
      <c r="E985" s="33" t="s">
        <v>91</v>
      </c>
      <c r="F985" s="33" t="s">
        <v>1</v>
      </c>
      <c r="G985" s="34">
        <f>G986</f>
        <v>194938</v>
      </c>
      <c r="H985" s="34"/>
      <c r="I985" s="106"/>
    </row>
    <row r="986" spans="1:8" ht="31.5" outlineLevel="5">
      <c r="A986" s="36" t="s">
        <v>734</v>
      </c>
      <c r="B986" s="37" t="s">
        <v>717</v>
      </c>
      <c r="C986" s="37" t="s">
        <v>239</v>
      </c>
      <c r="D986" s="37" t="s">
        <v>239</v>
      </c>
      <c r="E986" s="37" t="s">
        <v>100</v>
      </c>
      <c r="F986" s="37" t="s">
        <v>1</v>
      </c>
      <c r="G986" s="38">
        <f>G987</f>
        <v>194938</v>
      </c>
      <c r="H986" s="38"/>
    </row>
    <row r="987" spans="1:8" ht="31.5" outlineLevel="6">
      <c r="A987" s="36" t="s">
        <v>441</v>
      </c>
      <c r="B987" s="37" t="s">
        <v>717</v>
      </c>
      <c r="C987" s="37" t="s">
        <v>239</v>
      </c>
      <c r="D987" s="37" t="s">
        <v>239</v>
      </c>
      <c r="E987" s="37" t="s">
        <v>101</v>
      </c>
      <c r="F987" s="37" t="s">
        <v>1</v>
      </c>
      <c r="G987" s="38">
        <f>G988</f>
        <v>194938</v>
      </c>
      <c r="H987" s="38"/>
    </row>
    <row r="988" spans="1:8" ht="47.25" outlineLevel="7">
      <c r="A988" s="36" t="s">
        <v>692</v>
      </c>
      <c r="B988" s="37" t="s">
        <v>717</v>
      </c>
      <c r="C988" s="37" t="s">
        <v>239</v>
      </c>
      <c r="D988" s="37" t="s">
        <v>239</v>
      </c>
      <c r="E988" s="37" t="s">
        <v>101</v>
      </c>
      <c r="F988" s="37" t="s">
        <v>70</v>
      </c>
      <c r="G988" s="38">
        <v>194938</v>
      </c>
      <c r="H988" s="38"/>
    </row>
    <row r="989" spans="1:9" s="35" customFormat="1" ht="15.75" outlineLevel="1">
      <c r="A989" s="32" t="s">
        <v>698</v>
      </c>
      <c r="B989" s="33" t="s">
        <v>717</v>
      </c>
      <c r="C989" s="33" t="s">
        <v>165</v>
      </c>
      <c r="D989" s="33" t="s">
        <v>3</v>
      </c>
      <c r="E989" s="33" t="s">
        <v>4</v>
      </c>
      <c r="F989" s="33" t="s">
        <v>1</v>
      </c>
      <c r="G989" s="34">
        <f>G990</f>
        <v>215968078.14</v>
      </c>
      <c r="H989" s="34">
        <f>H990</f>
        <v>18077130.029999997</v>
      </c>
      <c r="I989" s="106"/>
    </row>
    <row r="990" spans="1:9" s="35" customFormat="1" ht="15.75" outlineLevel="2">
      <c r="A990" s="32" t="s">
        <v>681</v>
      </c>
      <c r="B990" s="33" t="s">
        <v>717</v>
      </c>
      <c r="C990" s="33" t="s">
        <v>165</v>
      </c>
      <c r="D990" s="33" t="s">
        <v>2</v>
      </c>
      <c r="E990" s="33" t="s">
        <v>4</v>
      </c>
      <c r="F990" s="33" t="s">
        <v>1</v>
      </c>
      <c r="G990" s="34">
        <f>G991+G997+G1064</f>
        <v>215968078.14</v>
      </c>
      <c r="H990" s="34">
        <f>H997</f>
        <v>18077130.029999997</v>
      </c>
      <c r="I990" s="106"/>
    </row>
    <row r="991" spans="1:9" s="35" customFormat="1" ht="63" outlineLevel="4">
      <c r="A991" s="32" t="s">
        <v>615</v>
      </c>
      <c r="B991" s="33" t="s">
        <v>717</v>
      </c>
      <c r="C991" s="33" t="s">
        <v>165</v>
      </c>
      <c r="D991" s="33" t="s">
        <v>2</v>
      </c>
      <c r="E991" s="33" t="s">
        <v>67</v>
      </c>
      <c r="F991" s="33" t="s">
        <v>1</v>
      </c>
      <c r="G991" s="34">
        <f>G992</f>
        <v>609776.79</v>
      </c>
      <c r="H991" s="34"/>
      <c r="I991" s="106"/>
    </row>
    <row r="992" spans="1:8" ht="63" outlineLevel="5">
      <c r="A992" s="36" t="s">
        <v>849</v>
      </c>
      <c r="B992" s="37" t="s">
        <v>717</v>
      </c>
      <c r="C992" s="37" t="s">
        <v>165</v>
      </c>
      <c r="D992" s="37" t="s">
        <v>2</v>
      </c>
      <c r="E992" s="37" t="s">
        <v>332</v>
      </c>
      <c r="F992" s="37" t="s">
        <v>1</v>
      </c>
      <c r="G992" s="38">
        <f>G993+G995</f>
        <v>609776.79</v>
      </c>
      <c r="H992" s="38"/>
    </row>
    <row r="993" spans="1:8" ht="31.5" outlineLevel="6">
      <c r="A993" s="36" t="s">
        <v>456</v>
      </c>
      <c r="B993" s="37" t="s">
        <v>717</v>
      </c>
      <c r="C993" s="37" t="s">
        <v>165</v>
      </c>
      <c r="D993" s="37" t="s">
        <v>2</v>
      </c>
      <c r="E993" s="37" t="s">
        <v>333</v>
      </c>
      <c r="F993" s="37" t="s">
        <v>1</v>
      </c>
      <c r="G993" s="38">
        <f>G994</f>
        <v>491531.49</v>
      </c>
      <c r="H993" s="38"/>
    </row>
    <row r="994" spans="1:8" ht="47.25" outlineLevel="7">
      <c r="A994" s="36" t="s">
        <v>692</v>
      </c>
      <c r="B994" s="37" t="s">
        <v>717</v>
      </c>
      <c r="C994" s="37" t="s">
        <v>165</v>
      </c>
      <c r="D994" s="37" t="s">
        <v>2</v>
      </c>
      <c r="E994" s="37" t="s">
        <v>333</v>
      </c>
      <c r="F994" s="37" t="s">
        <v>70</v>
      </c>
      <c r="G994" s="38">
        <v>491531.49</v>
      </c>
      <c r="H994" s="38"/>
    </row>
    <row r="995" spans="1:8" ht="31.5" outlineLevel="6">
      <c r="A995" s="36" t="s">
        <v>441</v>
      </c>
      <c r="B995" s="37" t="s">
        <v>717</v>
      </c>
      <c r="C995" s="37" t="s">
        <v>165</v>
      </c>
      <c r="D995" s="37" t="s">
        <v>2</v>
      </c>
      <c r="E995" s="37" t="s">
        <v>334</v>
      </c>
      <c r="F995" s="37" t="s">
        <v>1</v>
      </c>
      <c r="G995" s="38">
        <f>G996</f>
        <v>118245.3</v>
      </c>
      <c r="H995" s="38"/>
    </row>
    <row r="996" spans="1:8" ht="47.25" outlineLevel="7">
      <c r="A996" s="36" t="s">
        <v>692</v>
      </c>
      <c r="B996" s="37" t="s">
        <v>717</v>
      </c>
      <c r="C996" s="37" t="s">
        <v>165</v>
      </c>
      <c r="D996" s="37" t="s">
        <v>2</v>
      </c>
      <c r="E996" s="37" t="s">
        <v>334</v>
      </c>
      <c r="F996" s="37" t="s">
        <v>70</v>
      </c>
      <c r="G996" s="38">
        <v>118245.3</v>
      </c>
      <c r="H996" s="38"/>
    </row>
    <row r="997" spans="1:9" s="35" customFormat="1" ht="63" outlineLevel="3">
      <c r="A997" s="32" t="s">
        <v>657</v>
      </c>
      <c r="B997" s="33" t="s">
        <v>717</v>
      </c>
      <c r="C997" s="33" t="s">
        <v>165</v>
      </c>
      <c r="D997" s="33" t="s">
        <v>2</v>
      </c>
      <c r="E997" s="33" t="s">
        <v>279</v>
      </c>
      <c r="F997" s="33" t="s">
        <v>1</v>
      </c>
      <c r="G997" s="34">
        <f>G998+G1015+G1039+G1060</f>
        <v>214350098.35</v>
      </c>
      <c r="H997" s="34">
        <f>H998+H1015+H1039+H1060</f>
        <v>18077130.029999997</v>
      </c>
      <c r="I997" s="106"/>
    </row>
    <row r="998" spans="1:9" s="35" customFormat="1" ht="47.25" outlineLevel="4">
      <c r="A998" s="32" t="s">
        <v>639</v>
      </c>
      <c r="B998" s="33" t="s">
        <v>717</v>
      </c>
      <c r="C998" s="33" t="s">
        <v>165</v>
      </c>
      <c r="D998" s="33" t="s">
        <v>2</v>
      </c>
      <c r="E998" s="33" t="s">
        <v>280</v>
      </c>
      <c r="F998" s="33" t="s">
        <v>1</v>
      </c>
      <c r="G998" s="34">
        <f>G999+G1003+G1012</f>
        <v>122989590.98</v>
      </c>
      <c r="H998" s="34">
        <f>H1003</f>
        <v>11590400.52</v>
      </c>
      <c r="I998" s="106"/>
    </row>
    <row r="999" spans="1:8" ht="47.25" outlineLevel="5">
      <c r="A999" s="36" t="s">
        <v>816</v>
      </c>
      <c r="B999" s="37" t="s">
        <v>717</v>
      </c>
      <c r="C999" s="37" t="s">
        <v>165</v>
      </c>
      <c r="D999" s="37" t="s">
        <v>2</v>
      </c>
      <c r="E999" s="37" t="s">
        <v>335</v>
      </c>
      <c r="F999" s="37" t="s">
        <v>1</v>
      </c>
      <c r="G999" s="38">
        <f>G1000</f>
        <v>4923720</v>
      </c>
      <c r="H999" s="38"/>
    </row>
    <row r="1000" spans="1:8" ht="31.5" outlineLevel="6">
      <c r="A1000" s="36" t="s">
        <v>441</v>
      </c>
      <c r="B1000" s="37" t="s">
        <v>717</v>
      </c>
      <c r="C1000" s="37" t="s">
        <v>165</v>
      </c>
      <c r="D1000" s="37" t="s">
        <v>2</v>
      </c>
      <c r="E1000" s="37" t="s">
        <v>336</v>
      </c>
      <c r="F1000" s="37" t="s">
        <v>1</v>
      </c>
      <c r="G1000" s="38">
        <f>G1001+G1002</f>
        <v>4923720</v>
      </c>
      <c r="H1000" s="38"/>
    </row>
    <row r="1001" spans="1:8" ht="31.5" outlineLevel="7">
      <c r="A1001" s="36" t="s">
        <v>689</v>
      </c>
      <c r="B1001" s="37" t="s">
        <v>717</v>
      </c>
      <c r="C1001" s="37" t="s">
        <v>165</v>
      </c>
      <c r="D1001" s="37" t="s">
        <v>2</v>
      </c>
      <c r="E1001" s="37" t="s">
        <v>336</v>
      </c>
      <c r="F1001" s="37" t="s">
        <v>17</v>
      </c>
      <c r="G1001" s="38">
        <f>2262720-750000</f>
        <v>1512720</v>
      </c>
      <c r="H1001" s="38"/>
    </row>
    <row r="1002" spans="1:8" ht="47.25" outlineLevel="7">
      <c r="A1002" s="36" t="s">
        <v>692</v>
      </c>
      <c r="B1002" s="37" t="s">
        <v>717</v>
      </c>
      <c r="C1002" s="37" t="s">
        <v>165</v>
      </c>
      <c r="D1002" s="37" t="s">
        <v>2</v>
      </c>
      <c r="E1002" s="37" t="s">
        <v>336</v>
      </c>
      <c r="F1002" s="37" t="s">
        <v>70</v>
      </c>
      <c r="G1002" s="38">
        <f>2661000+750000</f>
        <v>3411000</v>
      </c>
      <c r="H1002" s="38"/>
    </row>
    <row r="1003" spans="1:8" ht="47.25" outlineLevel="5">
      <c r="A1003" s="36" t="s">
        <v>817</v>
      </c>
      <c r="B1003" s="37" t="s">
        <v>717</v>
      </c>
      <c r="C1003" s="37" t="s">
        <v>165</v>
      </c>
      <c r="D1003" s="37" t="s">
        <v>2</v>
      </c>
      <c r="E1003" s="37" t="s">
        <v>337</v>
      </c>
      <c r="F1003" s="37" t="s">
        <v>1</v>
      </c>
      <c r="G1003" s="38">
        <f>G1004+G1006+G1008+G1010</f>
        <v>116681059.71000001</v>
      </c>
      <c r="H1003" s="38">
        <f>H1004+H1006+H1008+H1010</f>
        <v>11590400.52</v>
      </c>
    </row>
    <row r="1004" spans="1:8" ht="78.75" outlineLevel="6">
      <c r="A1004" s="36" t="s">
        <v>443</v>
      </c>
      <c r="B1004" s="37" t="s">
        <v>717</v>
      </c>
      <c r="C1004" s="37" t="s">
        <v>165</v>
      </c>
      <c r="D1004" s="37" t="s">
        <v>2</v>
      </c>
      <c r="E1004" s="37" t="s">
        <v>338</v>
      </c>
      <c r="F1004" s="37" t="s">
        <v>1</v>
      </c>
      <c r="G1004" s="38">
        <f>G1005</f>
        <v>98897170.43</v>
      </c>
      <c r="H1004" s="38"/>
    </row>
    <row r="1005" spans="1:8" ht="47.25" outlineLevel="7">
      <c r="A1005" s="36" t="s">
        <v>692</v>
      </c>
      <c r="B1005" s="37" t="s">
        <v>717</v>
      </c>
      <c r="C1005" s="37" t="s">
        <v>165</v>
      </c>
      <c r="D1005" s="37" t="s">
        <v>2</v>
      </c>
      <c r="E1005" s="37" t="s">
        <v>338</v>
      </c>
      <c r="F1005" s="37" t="s">
        <v>70</v>
      </c>
      <c r="G1005" s="38">
        <v>98897170.43</v>
      </c>
      <c r="H1005" s="38"/>
    </row>
    <row r="1006" spans="1:8" ht="78.75" outlineLevel="6">
      <c r="A1006" s="36" t="s">
        <v>465</v>
      </c>
      <c r="B1006" s="37" t="s">
        <v>717</v>
      </c>
      <c r="C1006" s="37" t="s">
        <v>165</v>
      </c>
      <c r="D1006" s="37" t="s">
        <v>2</v>
      </c>
      <c r="E1006" s="37" t="s">
        <v>339</v>
      </c>
      <c r="F1006" s="37" t="s">
        <v>1</v>
      </c>
      <c r="G1006" s="38">
        <f>G1007</f>
        <v>11540400.52</v>
      </c>
      <c r="H1006" s="38">
        <f>H1007</f>
        <v>11540400.52</v>
      </c>
    </row>
    <row r="1007" spans="1:8" ht="47.25" outlineLevel="7">
      <c r="A1007" s="36" t="s">
        <v>692</v>
      </c>
      <c r="B1007" s="37" t="s">
        <v>717</v>
      </c>
      <c r="C1007" s="37" t="s">
        <v>165</v>
      </c>
      <c r="D1007" s="37" t="s">
        <v>2</v>
      </c>
      <c r="E1007" s="37" t="s">
        <v>339</v>
      </c>
      <c r="F1007" s="37" t="s">
        <v>70</v>
      </c>
      <c r="G1007" s="38">
        <v>11540400.52</v>
      </c>
      <c r="H1007" s="38">
        <f>G1007</f>
        <v>11540400.52</v>
      </c>
    </row>
    <row r="1008" spans="1:8" ht="78.75" outlineLevel="6">
      <c r="A1008" s="36" t="s">
        <v>465</v>
      </c>
      <c r="B1008" s="37" t="s">
        <v>717</v>
      </c>
      <c r="C1008" s="37" t="s">
        <v>165</v>
      </c>
      <c r="D1008" s="37" t="s">
        <v>2</v>
      </c>
      <c r="E1008" s="37" t="s">
        <v>340</v>
      </c>
      <c r="F1008" s="37" t="s">
        <v>1</v>
      </c>
      <c r="G1008" s="38">
        <f>G1009</f>
        <v>6193488.76</v>
      </c>
      <c r="H1008" s="38"/>
    </row>
    <row r="1009" spans="1:8" ht="47.25" outlineLevel="7">
      <c r="A1009" s="36" t="s">
        <v>692</v>
      </c>
      <c r="B1009" s="37" t="s">
        <v>717</v>
      </c>
      <c r="C1009" s="37" t="s">
        <v>165</v>
      </c>
      <c r="D1009" s="37" t="s">
        <v>2</v>
      </c>
      <c r="E1009" s="37" t="s">
        <v>340</v>
      </c>
      <c r="F1009" s="37" t="s">
        <v>70</v>
      </c>
      <c r="G1009" s="38">
        <v>6193488.76</v>
      </c>
      <c r="H1009" s="38"/>
    </row>
    <row r="1010" spans="1:8" ht="70.5" customHeight="1" outlineLevel="7">
      <c r="A1010" s="36" t="s">
        <v>941</v>
      </c>
      <c r="B1010" s="37" t="s">
        <v>717</v>
      </c>
      <c r="C1010" s="37" t="s">
        <v>165</v>
      </c>
      <c r="D1010" s="37" t="s">
        <v>2</v>
      </c>
      <c r="E1010" s="37" t="s">
        <v>942</v>
      </c>
      <c r="F1010" s="37" t="s">
        <v>1</v>
      </c>
      <c r="G1010" s="38">
        <f>G1011</f>
        <v>50000</v>
      </c>
      <c r="H1010" s="38">
        <f>H1011</f>
        <v>50000</v>
      </c>
    </row>
    <row r="1011" spans="1:8" ht="47.25" outlineLevel="7">
      <c r="A1011" s="36" t="s">
        <v>692</v>
      </c>
      <c r="B1011" s="37" t="s">
        <v>717</v>
      </c>
      <c r="C1011" s="37" t="s">
        <v>165</v>
      </c>
      <c r="D1011" s="37" t="s">
        <v>2</v>
      </c>
      <c r="E1011" s="37" t="s">
        <v>942</v>
      </c>
      <c r="F1011" s="37" t="s">
        <v>70</v>
      </c>
      <c r="G1011" s="38">
        <v>50000</v>
      </c>
      <c r="H1011" s="38">
        <f>G1011</f>
        <v>50000</v>
      </c>
    </row>
    <row r="1012" spans="1:8" ht="31.5" outlineLevel="5">
      <c r="A1012" s="36" t="s">
        <v>786</v>
      </c>
      <c r="B1012" s="37" t="s">
        <v>717</v>
      </c>
      <c r="C1012" s="37" t="s">
        <v>165</v>
      </c>
      <c r="D1012" s="37" t="s">
        <v>2</v>
      </c>
      <c r="E1012" s="37" t="s">
        <v>341</v>
      </c>
      <c r="F1012" s="37" t="s">
        <v>1</v>
      </c>
      <c r="G1012" s="38">
        <f>G1013</f>
        <v>1384811.27</v>
      </c>
      <c r="H1012" s="38"/>
    </row>
    <row r="1013" spans="1:8" ht="78.75" outlineLevel="6">
      <c r="A1013" s="36" t="s">
        <v>432</v>
      </c>
      <c r="B1013" s="37" t="s">
        <v>717</v>
      </c>
      <c r="C1013" s="37" t="s">
        <v>165</v>
      </c>
      <c r="D1013" s="37" t="s">
        <v>2</v>
      </c>
      <c r="E1013" s="37" t="s">
        <v>342</v>
      </c>
      <c r="F1013" s="37" t="s">
        <v>1</v>
      </c>
      <c r="G1013" s="38">
        <f>G1014</f>
        <v>1384811.27</v>
      </c>
      <c r="H1013" s="38"/>
    </row>
    <row r="1014" spans="1:8" ht="47.25" outlineLevel="7">
      <c r="A1014" s="36" t="s">
        <v>692</v>
      </c>
      <c r="B1014" s="37" t="s">
        <v>717</v>
      </c>
      <c r="C1014" s="37" t="s">
        <v>165</v>
      </c>
      <c r="D1014" s="37" t="s">
        <v>2</v>
      </c>
      <c r="E1014" s="37" t="s">
        <v>342</v>
      </c>
      <c r="F1014" s="37" t="s">
        <v>70</v>
      </c>
      <c r="G1014" s="38">
        <f>1251082+133729.27</f>
        <v>1384811.27</v>
      </c>
      <c r="H1014" s="38"/>
    </row>
    <row r="1015" spans="1:9" s="35" customFormat="1" ht="31.5" outlineLevel="4">
      <c r="A1015" s="117" t="s">
        <v>646</v>
      </c>
      <c r="B1015" s="118" t="s">
        <v>717</v>
      </c>
      <c r="C1015" s="118" t="s">
        <v>165</v>
      </c>
      <c r="D1015" s="118" t="s">
        <v>2</v>
      </c>
      <c r="E1015" s="118" t="s">
        <v>343</v>
      </c>
      <c r="F1015" s="118" t="s">
        <v>1</v>
      </c>
      <c r="G1015" s="119">
        <f>G1016+G1023+G1026+G1033+G1036</f>
        <v>54826078.419999994</v>
      </c>
      <c r="H1015" s="119">
        <f>H1016+H1023+H1026+H1033+H1036</f>
        <v>5169783.29</v>
      </c>
      <c r="I1015" s="106"/>
    </row>
    <row r="1016" spans="1:8" ht="47.25" outlineLevel="5">
      <c r="A1016" s="36" t="s">
        <v>818</v>
      </c>
      <c r="B1016" s="37" t="s">
        <v>717</v>
      </c>
      <c r="C1016" s="37" t="s">
        <v>165</v>
      </c>
      <c r="D1016" s="37" t="s">
        <v>2</v>
      </c>
      <c r="E1016" s="37" t="s">
        <v>344</v>
      </c>
      <c r="F1016" s="37" t="s">
        <v>1</v>
      </c>
      <c r="G1016" s="38">
        <f>G1017+G1019+G1021</f>
        <v>44562339.87</v>
      </c>
      <c r="H1016" s="38">
        <f>H1017+H1019+H1021</f>
        <v>5135772.78</v>
      </c>
    </row>
    <row r="1017" spans="1:8" ht="78.75" outlineLevel="6">
      <c r="A1017" s="36" t="s">
        <v>443</v>
      </c>
      <c r="B1017" s="37" t="s">
        <v>717</v>
      </c>
      <c r="C1017" s="37" t="s">
        <v>165</v>
      </c>
      <c r="D1017" s="37" t="s">
        <v>2</v>
      </c>
      <c r="E1017" s="37" t="s">
        <v>345</v>
      </c>
      <c r="F1017" s="37" t="s">
        <v>1</v>
      </c>
      <c r="G1017" s="38">
        <f>G1018</f>
        <v>37937563.69</v>
      </c>
      <c r="H1017" s="38"/>
    </row>
    <row r="1018" spans="1:8" ht="47.25" outlineLevel="7">
      <c r="A1018" s="36" t="s">
        <v>692</v>
      </c>
      <c r="B1018" s="37" t="s">
        <v>717</v>
      </c>
      <c r="C1018" s="37" t="s">
        <v>165</v>
      </c>
      <c r="D1018" s="37" t="s">
        <v>2</v>
      </c>
      <c r="E1018" s="37" t="s">
        <v>345</v>
      </c>
      <c r="F1018" s="37" t="s">
        <v>70</v>
      </c>
      <c r="G1018" s="38">
        <v>37937563.69</v>
      </c>
      <c r="H1018" s="38"/>
    </row>
    <row r="1019" spans="1:8" ht="78.75" outlineLevel="6">
      <c r="A1019" s="36" t="s">
        <v>465</v>
      </c>
      <c r="B1019" s="37" t="s">
        <v>717</v>
      </c>
      <c r="C1019" s="37" t="s">
        <v>165</v>
      </c>
      <c r="D1019" s="37" t="s">
        <v>2</v>
      </c>
      <c r="E1019" s="37" t="s">
        <v>346</v>
      </c>
      <c r="F1019" s="37" t="s">
        <v>1</v>
      </c>
      <c r="G1019" s="38">
        <f>G1020</f>
        <v>5135772.78</v>
      </c>
      <c r="H1019" s="38">
        <f>H1020</f>
        <v>5135772.78</v>
      </c>
    </row>
    <row r="1020" spans="1:8" ht="47.25" outlineLevel="7">
      <c r="A1020" s="36" t="s">
        <v>692</v>
      </c>
      <c r="B1020" s="37" t="s">
        <v>717</v>
      </c>
      <c r="C1020" s="37" t="s">
        <v>165</v>
      </c>
      <c r="D1020" s="37" t="s">
        <v>2</v>
      </c>
      <c r="E1020" s="37" t="s">
        <v>346</v>
      </c>
      <c r="F1020" s="37" t="s">
        <v>70</v>
      </c>
      <c r="G1020" s="38">
        <v>5135772.78</v>
      </c>
      <c r="H1020" s="38">
        <f>G1020</f>
        <v>5135772.78</v>
      </c>
    </row>
    <row r="1021" spans="1:8" ht="78.75" outlineLevel="6">
      <c r="A1021" s="36" t="s">
        <v>465</v>
      </c>
      <c r="B1021" s="37" t="s">
        <v>717</v>
      </c>
      <c r="C1021" s="37" t="s">
        <v>165</v>
      </c>
      <c r="D1021" s="37" t="s">
        <v>2</v>
      </c>
      <c r="E1021" s="37" t="s">
        <v>347</v>
      </c>
      <c r="F1021" s="37" t="s">
        <v>1</v>
      </c>
      <c r="G1021" s="38">
        <f>G1022</f>
        <v>1489003.4</v>
      </c>
      <c r="H1021" s="38"/>
    </row>
    <row r="1022" spans="1:8" ht="47.25" outlineLevel="7">
      <c r="A1022" s="36" t="s">
        <v>692</v>
      </c>
      <c r="B1022" s="37" t="s">
        <v>717</v>
      </c>
      <c r="C1022" s="37" t="s">
        <v>165</v>
      </c>
      <c r="D1022" s="37" t="s">
        <v>2</v>
      </c>
      <c r="E1022" s="37" t="s">
        <v>347</v>
      </c>
      <c r="F1022" s="37" t="s">
        <v>70</v>
      </c>
      <c r="G1022" s="38">
        <v>1489003.4</v>
      </c>
      <c r="H1022" s="38"/>
    </row>
    <row r="1023" spans="1:8" ht="31.5" outlineLevel="5">
      <c r="A1023" s="36" t="s">
        <v>786</v>
      </c>
      <c r="B1023" s="37" t="s">
        <v>717</v>
      </c>
      <c r="C1023" s="37" t="s">
        <v>165</v>
      </c>
      <c r="D1023" s="37" t="s">
        <v>2</v>
      </c>
      <c r="E1023" s="37" t="s">
        <v>348</v>
      </c>
      <c r="F1023" s="37" t="s">
        <v>1</v>
      </c>
      <c r="G1023" s="38">
        <f>G1024</f>
        <v>729709.48</v>
      </c>
      <c r="H1023" s="38"/>
    </row>
    <row r="1024" spans="1:8" ht="78.75" outlineLevel="6">
      <c r="A1024" s="36" t="s">
        <v>432</v>
      </c>
      <c r="B1024" s="37" t="s">
        <v>717</v>
      </c>
      <c r="C1024" s="37" t="s">
        <v>165</v>
      </c>
      <c r="D1024" s="37" t="s">
        <v>2</v>
      </c>
      <c r="E1024" s="37" t="s">
        <v>349</v>
      </c>
      <c r="F1024" s="37" t="s">
        <v>1</v>
      </c>
      <c r="G1024" s="38">
        <f>G1025</f>
        <v>729709.48</v>
      </c>
      <c r="H1024" s="38"/>
    </row>
    <row r="1025" spans="1:8" ht="47.25" outlineLevel="7">
      <c r="A1025" s="36" t="s">
        <v>692</v>
      </c>
      <c r="B1025" s="37" t="s">
        <v>717</v>
      </c>
      <c r="C1025" s="37" t="s">
        <v>165</v>
      </c>
      <c r="D1025" s="37" t="s">
        <v>2</v>
      </c>
      <c r="E1025" s="37" t="s">
        <v>349</v>
      </c>
      <c r="F1025" s="37" t="s">
        <v>70</v>
      </c>
      <c r="G1025" s="38">
        <f>949162-219452.52</f>
        <v>729709.48</v>
      </c>
      <c r="H1025" s="38"/>
    </row>
    <row r="1026" spans="1:8" ht="47.25" outlineLevel="5">
      <c r="A1026" s="36" t="s">
        <v>819</v>
      </c>
      <c r="B1026" s="37" t="s">
        <v>717</v>
      </c>
      <c r="C1026" s="37" t="s">
        <v>165</v>
      </c>
      <c r="D1026" s="37" t="s">
        <v>2</v>
      </c>
      <c r="E1026" s="37" t="s">
        <v>350</v>
      </c>
      <c r="F1026" s="37" t="s">
        <v>1</v>
      </c>
      <c r="G1026" s="38">
        <f>G1027+G1029+G1031</f>
        <v>5282577.76</v>
      </c>
      <c r="H1026" s="38">
        <f>H1027+H1029+H1031</f>
        <v>34010.51</v>
      </c>
    </row>
    <row r="1027" spans="1:8" ht="78.75" outlineLevel="6">
      <c r="A1027" s="36" t="s">
        <v>443</v>
      </c>
      <c r="B1027" s="37" t="s">
        <v>717</v>
      </c>
      <c r="C1027" s="37" t="s">
        <v>165</v>
      </c>
      <c r="D1027" s="37" t="s">
        <v>2</v>
      </c>
      <c r="E1027" s="37" t="s">
        <v>351</v>
      </c>
      <c r="F1027" s="37" t="s">
        <v>1</v>
      </c>
      <c r="G1027" s="38">
        <f>G1028</f>
        <v>4804616.25</v>
      </c>
      <c r="H1027" s="38"/>
    </row>
    <row r="1028" spans="1:8" ht="47.25" outlineLevel="7">
      <c r="A1028" s="36" t="s">
        <v>692</v>
      </c>
      <c r="B1028" s="37" t="s">
        <v>717</v>
      </c>
      <c r="C1028" s="37" t="s">
        <v>165</v>
      </c>
      <c r="D1028" s="37" t="s">
        <v>2</v>
      </c>
      <c r="E1028" s="37" t="s">
        <v>351</v>
      </c>
      <c r="F1028" s="37" t="s">
        <v>70</v>
      </c>
      <c r="G1028" s="38">
        <f>5248567.25-443951</f>
        <v>4804616.25</v>
      </c>
      <c r="H1028" s="38"/>
    </row>
    <row r="1029" spans="1:8" ht="78.75" outlineLevel="7">
      <c r="A1029" s="36" t="s">
        <v>908</v>
      </c>
      <c r="B1029" s="37" t="s">
        <v>717</v>
      </c>
      <c r="C1029" s="37" t="s">
        <v>165</v>
      </c>
      <c r="D1029" s="37" t="s">
        <v>2</v>
      </c>
      <c r="E1029" s="37" t="s">
        <v>909</v>
      </c>
      <c r="F1029" s="37" t="s">
        <v>1</v>
      </c>
      <c r="G1029" s="38">
        <f>G1030</f>
        <v>443951</v>
      </c>
      <c r="H1029" s="38"/>
    </row>
    <row r="1030" spans="1:8" ht="47.25" outlineLevel="7">
      <c r="A1030" s="36" t="s">
        <v>692</v>
      </c>
      <c r="B1030" s="37" t="s">
        <v>717</v>
      </c>
      <c r="C1030" s="37" t="s">
        <v>165</v>
      </c>
      <c r="D1030" s="37" t="s">
        <v>2</v>
      </c>
      <c r="E1030" s="37" t="s">
        <v>909</v>
      </c>
      <c r="F1030" s="37" t="s">
        <v>70</v>
      </c>
      <c r="G1030" s="38">
        <f>443951</f>
        <v>443951</v>
      </c>
      <c r="H1030" s="38"/>
    </row>
    <row r="1031" spans="1:8" ht="78.75" outlineLevel="7">
      <c r="A1031" s="36" t="s">
        <v>908</v>
      </c>
      <c r="B1031" s="37" t="s">
        <v>717</v>
      </c>
      <c r="C1031" s="37" t="s">
        <v>165</v>
      </c>
      <c r="D1031" s="37" t="s">
        <v>2</v>
      </c>
      <c r="E1031" s="37" t="s">
        <v>910</v>
      </c>
      <c r="F1031" s="37" t="s">
        <v>1</v>
      </c>
      <c r="G1031" s="38">
        <f>G1032</f>
        <v>34010.51</v>
      </c>
      <c r="H1031" s="38">
        <f>H1032</f>
        <v>34010.51</v>
      </c>
    </row>
    <row r="1032" spans="1:8" ht="47.25" outlineLevel="7">
      <c r="A1032" s="36" t="s">
        <v>692</v>
      </c>
      <c r="B1032" s="37" t="s">
        <v>717</v>
      </c>
      <c r="C1032" s="37" t="s">
        <v>165</v>
      </c>
      <c r="D1032" s="37" t="s">
        <v>2</v>
      </c>
      <c r="E1032" s="37" t="s">
        <v>910</v>
      </c>
      <c r="F1032" s="37" t="s">
        <v>70</v>
      </c>
      <c r="G1032" s="38">
        <f>18025.34+15985.17</f>
        <v>34010.51</v>
      </c>
      <c r="H1032" s="38">
        <f>G1032</f>
        <v>34010.51</v>
      </c>
    </row>
    <row r="1033" spans="1:8" ht="31.5" outlineLevel="5">
      <c r="A1033" s="36" t="s">
        <v>820</v>
      </c>
      <c r="B1033" s="37" t="s">
        <v>717</v>
      </c>
      <c r="C1033" s="37" t="s">
        <v>165</v>
      </c>
      <c r="D1033" s="37" t="s">
        <v>2</v>
      </c>
      <c r="E1033" s="37" t="s">
        <v>352</v>
      </c>
      <c r="F1033" s="37" t="s">
        <v>1</v>
      </c>
      <c r="G1033" s="38">
        <f>G1034</f>
        <v>4142944.31</v>
      </c>
      <c r="H1033" s="38"/>
    </row>
    <row r="1034" spans="1:8" ht="78.75" outlineLevel="6">
      <c r="A1034" s="36" t="s">
        <v>443</v>
      </c>
      <c r="B1034" s="37" t="s">
        <v>717</v>
      </c>
      <c r="C1034" s="37" t="s">
        <v>165</v>
      </c>
      <c r="D1034" s="37" t="s">
        <v>2</v>
      </c>
      <c r="E1034" s="37" t="s">
        <v>353</v>
      </c>
      <c r="F1034" s="37" t="s">
        <v>1</v>
      </c>
      <c r="G1034" s="38">
        <f>G1035</f>
        <v>4142944.31</v>
      </c>
      <c r="H1034" s="38"/>
    </row>
    <row r="1035" spans="1:8" ht="47.25" outlineLevel="7">
      <c r="A1035" s="36" t="s">
        <v>692</v>
      </c>
      <c r="B1035" s="37" t="s">
        <v>717</v>
      </c>
      <c r="C1035" s="37" t="s">
        <v>165</v>
      </c>
      <c r="D1035" s="37" t="s">
        <v>2</v>
      </c>
      <c r="E1035" s="37" t="s">
        <v>353</v>
      </c>
      <c r="F1035" s="37" t="s">
        <v>70</v>
      </c>
      <c r="G1035" s="38">
        <v>4142944.31</v>
      </c>
      <c r="H1035" s="38"/>
    </row>
    <row r="1036" spans="1:8" ht="31.5" outlineLevel="5">
      <c r="A1036" s="36" t="s">
        <v>821</v>
      </c>
      <c r="B1036" s="37" t="s">
        <v>717</v>
      </c>
      <c r="C1036" s="37" t="s">
        <v>165</v>
      </c>
      <c r="D1036" s="37" t="s">
        <v>2</v>
      </c>
      <c r="E1036" s="37" t="s">
        <v>354</v>
      </c>
      <c r="F1036" s="37" t="s">
        <v>1</v>
      </c>
      <c r="G1036" s="38">
        <f>G1037</f>
        <v>108507</v>
      </c>
      <c r="H1036" s="38"/>
    </row>
    <row r="1037" spans="1:8" ht="78.75" outlineLevel="6">
      <c r="A1037" s="36" t="s">
        <v>443</v>
      </c>
      <c r="B1037" s="37" t="s">
        <v>717</v>
      </c>
      <c r="C1037" s="37" t="s">
        <v>165</v>
      </c>
      <c r="D1037" s="37" t="s">
        <v>2</v>
      </c>
      <c r="E1037" s="37" t="s">
        <v>355</v>
      </c>
      <c r="F1037" s="37" t="s">
        <v>1</v>
      </c>
      <c r="G1037" s="38">
        <f>G1038</f>
        <v>108507</v>
      </c>
      <c r="H1037" s="38"/>
    </row>
    <row r="1038" spans="1:8" ht="47.25" outlineLevel="7">
      <c r="A1038" s="36" t="s">
        <v>692</v>
      </c>
      <c r="B1038" s="37" t="s">
        <v>717</v>
      </c>
      <c r="C1038" s="37" t="s">
        <v>165</v>
      </c>
      <c r="D1038" s="37" t="s">
        <v>2</v>
      </c>
      <c r="E1038" s="37" t="s">
        <v>355</v>
      </c>
      <c r="F1038" s="37" t="s">
        <v>70</v>
      </c>
      <c r="G1038" s="38">
        <v>108507</v>
      </c>
      <c r="H1038" s="38"/>
    </row>
    <row r="1039" spans="1:9" s="35" customFormat="1" ht="31.5" outlineLevel="4">
      <c r="A1039" s="32" t="s">
        <v>647</v>
      </c>
      <c r="B1039" s="33" t="s">
        <v>717</v>
      </c>
      <c r="C1039" s="33" t="s">
        <v>165</v>
      </c>
      <c r="D1039" s="33" t="s">
        <v>2</v>
      </c>
      <c r="E1039" s="33" t="s">
        <v>356</v>
      </c>
      <c r="F1039" s="33" t="s">
        <v>1</v>
      </c>
      <c r="G1039" s="34">
        <f>G1040+G1043+G1050+G1057</f>
        <v>15633510.509999998</v>
      </c>
      <c r="H1039" s="34">
        <f>H1043+H1050</f>
        <v>1316946.22</v>
      </c>
      <c r="I1039" s="106"/>
    </row>
    <row r="1040" spans="1:8" ht="47.25" outlineLevel="5">
      <c r="A1040" s="36" t="s">
        <v>822</v>
      </c>
      <c r="B1040" s="37" t="s">
        <v>717</v>
      </c>
      <c r="C1040" s="37" t="s">
        <v>165</v>
      </c>
      <c r="D1040" s="37" t="s">
        <v>2</v>
      </c>
      <c r="E1040" s="37" t="s">
        <v>357</v>
      </c>
      <c r="F1040" s="37" t="s">
        <v>1</v>
      </c>
      <c r="G1040" s="38">
        <f>G1041</f>
        <v>403464</v>
      </c>
      <c r="H1040" s="38"/>
    </row>
    <row r="1041" spans="1:8" ht="78.75" outlineLevel="6">
      <c r="A1041" s="36" t="s">
        <v>443</v>
      </c>
      <c r="B1041" s="37" t="s">
        <v>717</v>
      </c>
      <c r="C1041" s="37" t="s">
        <v>165</v>
      </c>
      <c r="D1041" s="37" t="s">
        <v>2</v>
      </c>
      <c r="E1041" s="37" t="s">
        <v>358</v>
      </c>
      <c r="F1041" s="37" t="s">
        <v>1</v>
      </c>
      <c r="G1041" s="38">
        <f>G1042</f>
        <v>403464</v>
      </c>
      <c r="H1041" s="38"/>
    </row>
    <row r="1042" spans="1:8" ht="47.25" outlineLevel="7">
      <c r="A1042" s="36" t="s">
        <v>692</v>
      </c>
      <c r="B1042" s="37" t="s">
        <v>717</v>
      </c>
      <c r="C1042" s="37" t="s">
        <v>165</v>
      </c>
      <c r="D1042" s="37" t="s">
        <v>2</v>
      </c>
      <c r="E1042" s="37" t="s">
        <v>358</v>
      </c>
      <c r="F1042" s="37" t="s">
        <v>70</v>
      </c>
      <c r="G1042" s="38">
        <v>403464</v>
      </c>
      <c r="H1042" s="38"/>
    </row>
    <row r="1043" spans="1:8" ht="31.5" outlineLevel="5">
      <c r="A1043" s="36" t="s">
        <v>823</v>
      </c>
      <c r="B1043" s="37" t="s">
        <v>717</v>
      </c>
      <c r="C1043" s="37" t="s">
        <v>165</v>
      </c>
      <c r="D1043" s="37" t="s">
        <v>2</v>
      </c>
      <c r="E1043" s="37" t="s">
        <v>359</v>
      </c>
      <c r="F1043" s="37" t="s">
        <v>1</v>
      </c>
      <c r="G1043" s="38">
        <f>G1044+G1046+G1048</f>
        <v>10653011.069999998</v>
      </c>
      <c r="H1043" s="38">
        <f>H1046</f>
        <v>940214.59</v>
      </c>
    </row>
    <row r="1044" spans="1:8" ht="78.75" outlineLevel="6">
      <c r="A1044" s="36" t="s">
        <v>443</v>
      </c>
      <c r="B1044" s="37" t="s">
        <v>717</v>
      </c>
      <c r="C1044" s="37" t="s">
        <v>165</v>
      </c>
      <c r="D1044" s="37" t="s">
        <v>2</v>
      </c>
      <c r="E1044" s="37" t="s">
        <v>360</v>
      </c>
      <c r="F1044" s="37" t="s">
        <v>1</v>
      </c>
      <c r="G1044" s="38">
        <f>G1045</f>
        <v>9438953.53</v>
      </c>
      <c r="H1044" s="38"/>
    </row>
    <row r="1045" spans="1:8" ht="47.25" outlineLevel="7">
      <c r="A1045" s="36" t="s">
        <v>692</v>
      </c>
      <c r="B1045" s="37" t="s">
        <v>717</v>
      </c>
      <c r="C1045" s="37" t="s">
        <v>165</v>
      </c>
      <c r="D1045" s="37" t="s">
        <v>2</v>
      </c>
      <c r="E1045" s="37" t="s">
        <v>360</v>
      </c>
      <c r="F1045" s="37" t="s">
        <v>70</v>
      </c>
      <c r="G1045" s="38">
        <v>9438953.53</v>
      </c>
      <c r="H1045" s="38"/>
    </row>
    <row r="1046" spans="1:8" ht="78.75" outlineLevel="6">
      <c r="A1046" s="36" t="s">
        <v>465</v>
      </c>
      <c r="B1046" s="37" t="s">
        <v>717</v>
      </c>
      <c r="C1046" s="37" t="s">
        <v>165</v>
      </c>
      <c r="D1046" s="37" t="s">
        <v>2</v>
      </c>
      <c r="E1046" s="37" t="s">
        <v>361</v>
      </c>
      <c r="F1046" s="37" t="s">
        <v>1</v>
      </c>
      <c r="G1046" s="38">
        <f>G1047</f>
        <v>940214.59</v>
      </c>
      <c r="H1046" s="38">
        <f>H1047</f>
        <v>940214.59</v>
      </c>
    </row>
    <row r="1047" spans="1:8" ht="47.25" outlineLevel="7">
      <c r="A1047" s="36" t="s">
        <v>692</v>
      </c>
      <c r="B1047" s="37" t="s">
        <v>717</v>
      </c>
      <c r="C1047" s="37" t="s">
        <v>165</v>
      </c>
      <c r="D1047" s="37" t="s">
        <v>2</v>
      </c>
      <c r="E1047" s="37" t="s">
        <v>361</v>
      </c>
      <c r="F1047" s="37" t="s">
        <v>70</v>
      </c>
      <c r="G1047" s="38">
        <v>940214.59</v>
      </c>
      <c r="H1047" s="38">
        <f>G1047</f>
        <v>940214.59</v>
      </c>
    </row>
    <row r="1048" spans="1:8" ht="78.75" outlineLevel="6">
      <c r="A1048" s="36" t="s">
        <v>465</v>
      </c>
      <c r="B1048" s="37" t="s">
        <v>717</v>
      </c>
      <c r="C1048" s="37" t="s">
        <v>165</v>
      </c>
      <c r="D1048" s="37" t="s">
        <v>2</v>
      </c>
      <c r="E1048" s="37" t="s">
        <v>362</v>
      </c>
      <c r="F1048" s="37" t="s">
        <v>1</v>
      </c>
      <c r="G1048" s="38">
        <f>G1049</f>
        <v>273842.95</v>
      </c>
      <c r="H1048" s="38"/>
    </row>
    <row r="1049" spans="1:8" ht="47.25" outlineLevel="7">
      <c r="A1049" s="36" t="s">
        <v>692</v>
      </c>
      <c r="B1049" s="37" t="s">
        <v>717</v>
      </c>
      <c r="C1049" s="37" t="s">
        <v>165</v>
      </c>
      <c r="D1049" s="37" t="s">
        <v>2</v>
      </c>
      <c r="E1049" s="37" t="s">
        <v>362</v>
      </c>
      <c r="F1049" s="37" t="s">
        <v>70</v>
      </c>
      <c r="G1049" s="38">
        <v>273842.95</v>
      </c>
      <c r="H1049" s="38"/>
    </row>
    <row r="1050" spans="1:8" ht="31.5" outlineLevel="5">
      <c r="A1050" s="36" t="s">
        <v>824</v>
      </c>
      <c r="B1050" s="37" t="s">
        <v>717</v>
      </c>
      <c r="C1050" s="37" t="s">
        <v>165</v>
      </c>
      <c r="D1050" s="37" t="s">
        <v>2</v>
      </c>
      <c r="E1050" s="37" t="s">
        <v>363</v>
      </c>
      <c r="F1050" s="37" t="s">
        <v>1</v>
      </c>
      <c r="G1050" s="38">
        <f>G1051+G1053+G1055</f>
        <v>4226312.74</v>
      </c>
      <c r="H1050" s="38">
        <f>H1053</f>
        <v>376731.63</v>
      </c>
    </row>
    <row r="1051" spans="1:8" ht="78.75" outlineLevel="6">
      <c r="A1051" s="36" t="s">
        <v>443</v>
      </c>
      <c r="B1051" s="37" t="s">
        <v>717</v>
      </c>
      <c r="C1051" s="37" t="s">
        <v>165</v>
      </c>
      <c r="D1051" s="37" t="s">
        <v>2</v>
      </c>
      <c r="E1051" s="37" t="s">
        <v>364</v>
      </c>
      <c r="F1051" s="37" t="s">
        <v>1</v>
      </c>
      <c r="G1051" s="38">
        <f>G1052</f>
        <v>3757081.49</v>
      </c>
      <c r="H1051" s="38"/>
    </row>
    <row r="1052" spans="1:8" ht="47.25" outlineLevel="7">
      <c r="A1052" s="36" t="s">
        <v>692</v>
      </c>
      <c r="B1052" s="37" t="s">
        <v>717</v>
      </c>
      <c r="C1052" s="37" t="s">
        <v>165</v>
      </c>
      <c r="D1052" s="37" t="s">
        <v>2</v>
      </c>
      <c r="E1052" s="37" t="s">
        <v>364</v>
      </c>
      <c r="F1052" s="37" t="s">
        <v>70</v>
      </c>
      <c r="G1052" s="38">
        <v>3757081.49</v>
      </c>
      <c r="H1052" s="38"/>
    </row>
    <row r="1053" spans="1:8" ht="78.75" outlineLevel="6">
      <c r="A1053" s="36" t="s">
        <v>465</v>
      </c>
      <c r="B1053" s="37" t="s">
        <v>717</v>
      </c>
      <c r="C1053" s="37" t="s">
        <v>165</v>
      </c>
      <c r="D1053" s="37" t="s">
        <v>2</v>
      </c>
      <c r="E1053" s="37" t="s">
        <v>365</v>
      </c>
      <c r="F1053" s="37" t="s">
        <v>1</v>
      </c>
      <c r="G1053" s="38">
        <f>G1054</f>
        <v>376731.63</v>
      </c>
      <c r="H1053" s="38">
        <f>H1054</f>
        <v>376731.63</v>
      </c>
    </row>
    <row r="1054" spans="1:8" ht="47.25" outlineLevel="7">
      <c r="A1054" s="36" t="s">
        <v>692</v>
      </c>
      <c r="B1054" s="37" t="s">
        <v>717</v>
      </c>
      <c r="C1054" s="37" t="s">
        <v>165</v>
      </c>
      <c r="D1054" s="37" t="s">
        <v>2</v>
      </c>
      <c r="E1054" s="37" t="s">
        <v>365</v>
      </c>
      <c r="F1054" s="37" t="s">
        <v>70</v>
      </c>
      <c r="G1054" s="38">
        <v>376731.63</v>
      </c>
      <c r="H1054" s="38">
        <f>G1054</f>
        <v>376731.63</v>
      </c>
    </row>
    <row r="1055" spans="1:8" ht="78.75" outlineLevel="6">
      <c r="A1055" s="36" t="s">
        <v>465</v>
      </c>
      <c r="B1055" s="37" t="s">
        <v>717</v>
      </c>
      <c r="C1055" s="37" t="s">
        <v>165</v>
      </c>
      <c r="D1055" s="37" t="s">
        <v>2</v>
      </c>
      <c r="E1055" s="37" t="s">
        <v>366</v>
      </c>
      <c r="F1055" s="37" t="s">
        <v>1</v>
      </c>
      <c r="G1055" s="38">
        <f>G1056</f>
        <v>92499.62</v>
      </c>
      <c r="H1055" s="38"/>
    </row>
    <row r="1056" spans="1:8" ht="47.25" outlineLevel="7">
      <c r="A1056" s="36" t="s">
        <v>692</v>
      </c>
      <c r="B1056" s="37" t="s">
        <v>717</v>
      </c>
      <c r="C1056" s="37" t="s">
        <v>165</v>
      </c>
      <c r="D1056" s="37" t="s">
        <v>2</v>
      </c>
      <c r="E1056" s="37" t="s">
        <v>366</v>
      </c>
      <c r="F1056" s="37" t="s">
        <v>70</v>
      </c>
      <c r="G1056" s="38">
        <v>92499.62</v>
      </c>
      <c r="H1056" s="38"/>
    </row>
    <row r="1057" spans="1:8" ht="31.5" outlineLevel="5">
      <c r="A1057" s="36" t="s">
        <v>786</v>
      </c>
      <c r="B1057" s="37" t="s">
        <v>717</v>
      </c>
      <c r="C1057" s="37" t="s">
        <v>165</v>
      </c>
      <c r="D1057" s="37" t="s">
        <v>2</v>
      </c>
      <c r="E1057" s="37" t="s">
        <v>367</v>
      </c>
      <c r="F1057" s="37" t="s">
        <v>1</v>
      </c>
      <c r="G1057" s="38">
        <f>G1058</f>
        <v>350722.7</v>
      </c>
      <c r="H1057" s="38"/>
    </row>
    <row r="1058" spans="1:8" ht="78.75" outlineLevel="6">
      <c r="A1058" s="36" t="s">
        <v>432</v>
      </c>
      <c r="B1058" s="37" t="s">
        <v>717</v>
      </c>
      <c r="C1058" s="37" t="s">
        <v>165</v>
      </c>
      <c r="D1058" s="37" t="s">
        <v>2</v>
      </c>
      <c r="E1058" s="37" t="s">
        <v>368</v>
      </c>
      <c r="F1058" s="37" t="s">
        <v>1</v>
      </c>
      <c r="G1058" s="38">
        <f>G1059</f>
        <v>350722.7</v>
      </c>
      <c r="H1058" s="38"/>
    </row>
    <row r="1059" spans="1:8" ht="47.25" outlineLevel="7">
      <c r="A1059" s="36" t="s">
        <v>692</v>
      </c>
      <c r="B1059" s="37" t="s">
        <v>717</v>
      </c>
      <c r="C1059" s="37" t="s">
        <v>165</v>
      </c>
      <c r="D1059" s="37" t="s">
        <v>2</v>
      </c>
      <c r="E1059" s="37" t="s">
        <v>368</v>
      </c>
      <c r="F1059" s="37" t="s">
        <v>70</v>
      </c>
      <c r="G1059" s="38">
        <f>343886+6836.7</f>
        <v>350722.7</v>
      </c>
      <c r="H1059" s="38"/>
    </row>
    <row r="1060" spans="1:9" s="35" customFormat="1" ht="47.25" outlineLevel="4">
      <c r="A1060" s="32" t="s">
        <v>648</v>
      </c>
      <c r="B1060" s="33" t="s">
        <v>717</v>
      </c>
      <c r="C1060" s="33" t="s">
        <v>165</v>
      </c>
      <c r="D1060" s="33" t="s">
        <v>2</v>
      </c>
      <c r="E1060" s="33" t="s">
        <v>369</v>
      </c>
      <c r="F1060" s="33" t="s">
        <v>1</v>
      </c>
      <c r="G1060" s="34">
        <f>G1061</f>
        <v>20900918.44</v>
      </c>
      <c r="H1060" s="34"/>
      <c r="I1060" s="106"/>
    </row>
    <row r="1061" spans="1:8" ht="63" outlineLevel="5">
      <c r="A1061" s="36" t="s">
        <v>825</v>
      </c>
      <c r="B1061" s="37" t="s">
        <v>717</v>
      </c>
      <c r="C1061" s="37" t="s">
        <v>165</v>
      </c>
      <c r="D1061" s="37" t="s">
        <v>2</v>
      </c>
      <c r="E1061" s="37" t="s">
        <v>370</v>
      </c>
      <c r="F1061" s="37" t="s">
        <v>1</v>
      </c>
      <c r="G1061" s="38">
        <f>G1062</f>
        <v>20900918.44</v>
      </c>
      <c r="H1061" s="38"/>
    </row>
    <row r="1062" spans="1:8" ht="31.5" outlineLevel="6">
      <c r="A1062" s="36" t="s">
        <v>456</v>
      </c>
      <c r="B1062" s="37" t="s">
        <v>717</v>
      </c>
      <c r="C1062" s="37" t="s">
        <v>165</v>
      </c>
      <c r="D1062" s="37" t="s">
        <v>2</v>
      </c>
      <c r="E1062" s="37" t="s">
        <v>371</v>
      </c>
      <c r="F1062" s="37" t="s">
        <v>1</v>
      </c>
      <c r="G1062" s="38">
        <f>G1063</f>
        <v>20900918.44</v>
      </c>
      <c r="H1062" s="38"/>
    </row>
    <row r="1063" spans="1:8" ht="47.25" outlineLevel="7">
      <c r="A1063" s="36" t="s">
        <v>692</v>
      </c>
      <c r="B1063" s="37" t="s">
        <v>717</v>
      </c>
      <c r="C1063" s="37" t="s">
        <v>165</v>
      </c>
      <c r="D1063" s="37" t="s">
        <v>2</v>
      </c>
      <c r="E1063" s="37" t="s">
        <v>371</v>
      </c>
      <c r="F1063" s="37" t="s">
        <v>70</v>
      </c>
      <c r="G1063" s="38">
        <f>1598226.92+16922443.08+2380248.44</f>
        <v>20900918.44</v>
      </c>
      <c r="H1063" s="38"/>
    </row>
    <row r="1064" spans="1:9" s="35" customFormat="1" ht="47.25" outlineLevel="3">
      <c r="A1064" s="32" t="s">
        <v>655</v>
      </c>
      <c r="B1064" s="33" t="s">
        <v>717</v>
      </c>
      <c r="C1064" s="33" t="s">
        <v>165</v>
      </c>
      <c r="D1064" s="33" t="s">
        <v>2</v>
      </c>
      <c r="E1064" s="33" t="s">
        <v>90</v>
      </c>
      <c r="F1064" s="33" t="s">
        <v>1</v>
      </c>
      <c r="G1064" s="34">
        <f>G1065</f>
        <v>1008203</v>
      </c>
      <c r="H1064" s="34"/>
      <c r="I1064" s="106"/>
    </row>
    <row r="1065" spans="1:9" s="35" customFormat="1" ht="47.25" outlineLevel="4">
      <c r="A1065" s="32" t="s">
        <v>620</v>
      </c>
      <c r="B1065" s="33" t="s">
        <v>717</v>
      </c>
      <c r="C1065" s="33" t="s">
        <v>165</v>
      </c>
      <c r="D1065" s="33" t="s">
        <v>2</v>
      </c>
      <c r="E1065" s="33" t="s">
        <v>91</v>
      </c>
      <c r="F1065" s="33" t="s">
        <v>1</v>
      </c>
      <c r="G1065" s="34">
        <f>G1066</f>
        <v>1008203</v>
      </c>
      <c r="H1065" s="34"/>
      <c r="I1065" s="106"/>
    </row>
    <row r="1066" spans="1:8" ht="31.5" outlineLevel="5">
      <c r="A1066" s="36" t="s">
        <v>734</v>
      </c>
      <c r="B1066" s="37" t="s">
        <v>717</v>
      </c>
      <c r="C1066" s="37" t="s">
        <v>165</v>
      </c>
      <c r="D1066" s="37" t="s">
        <v>2</v>
      </c>
      <c r="E1066" s="37" t="s">
        <v>100</v>
      </c>
      <c r="F1066" s="37" t="s">
        <v>1</v>
      </c>
      <c r="G1066" s="38">
        <f>G1067</f>
        <v>1008203</v>
      </c>
      <c r="H1066" s="38"/>
    </row>
    <row r="1067" spans="1:8" ht="31.5" outlineLevel="6">
      <c r="A1067" s="36" t="s">
        <v>441</v>
      </c>
      <c r="B1067" s="37" t="s">
        <v>717</v>
      </c>
      <c r="C1067" s="37" t="s">
        <v>165</v>
      </c>
      <c r="D1067" s="37" t="s">
        <v>2</v>
      </c>
      <c r="E1067" s="37" t="s">
        <v>101</v>
      </c>
      <c r="F1067" s="37" t="s">
        <v>1</v>
      </c>
      <c r="G1067" s="38">
        <f>G1068</f>
        <v>1008203</v>
      </c>
      <c r="H1067" s="38"/>
    </row>
    <row r="1068" spans="1:8" ht="47.25" outlineLevel="7">
      <c r="A1068" s="36" t="s">
        <v>692</v>
      </c>
      <c r="B1068" s="37" t="s">
        <v>717</v>
      </c>
      <c r="C1068" s="37" t="s">
        <v>165</v>
      </c>
      <c r="D1068" s="37" t="s">
        <v>2</v>
      </c>
      <c r="E1068" s="37" t="s">
        <v>101</v>
      </c>
      <c r="F1068" s="37" t="s">
        <v>70</v>
      </c>
      <c r="G1068" s="38">
        <v>1008203</v>
      </c>
      <c r="H1068" s="38"/>
    </row>
    <row r="1069" spans="1:9" s="35" customFormat="1" ht="15.75" outlineLevel="1">
      <c r="A1069" s="32" t="s">
        <v>699</v>
      </c>
      <c r="B1069" s="33" t="s">
        <v>717</v>
      </c>
      <c r="C1069" s="33" t="s">
        <v>187</v>
      </c>
      <c r="D1069" s="33" t="s">
        <v>3</v>
      </c>
      <c r="E1069" s="33" t="s">
        <v>4</v>
      </c>
      <c r="F1069" s="33" t="s">
        <v>1</v>
      </c>
      <c r="G1069" s="34">
        <f>G1070</f>
        <v>616164</v>
      </c>
      <c r="H1069" s="34">
        <f>H1070</f>
        <v>616164</v>
      </c>
      <c r="I1069" s="106"/>
    </row>
    <row r="1070" spans="1:9" s="35" customFormat="1" ht="15.75" outlineLevel="2">
      <c r="A1070" s="32" t="s">
        <v>683</v>
      </c>
      <c r="B1070" s="33" t="s">
        <v>717</v>
      </c>
      <c r="C1070" s="33" t="s">
        <v>187</v>
      </c>
      <c r="D1070" s="33" t="s">
        <v>14</v>
      </c>
      <c r="E1070" s="33" t="s">
        <v>4</v>
      </c>
      <c r="F1070" s="33" t="s">
        <v>1</v>
      </c>
      <c r="G1070" s="34">
        <f>G1071</f>
        <v>616164</v>
      </c>
      <c r="H1070" s="34">
        <f>H1071</f>
        <v>616164</v>
      </c>
      <c r="I1070" s="106"/>
    </row>
    <row r="1071" spans="1:9" s="35" customFormat="1" ht="63" outlineLevel="3">
      <c r="A1071" s="32" t="s">
        <v>657</v>
      </c>
      <c r="B1071" s="33" t="s">
        <v>717</v>
      </c>
      <c r="C1071" s="33" t="s">
        <v>187</v>
      </c>
      <c r="D1071" s="33" t="s">
        <v>14</v>
      </c>
      <c r="E1071" s="33" t="s">
        <v>279</v>
      </c>
      <c r="F1071" s="33" t="s">
        <v>1</v>
      </c>
      <c r="G1071" s="34">
        <f>G1072+G1078</f>
        <v>616164</v>
      </c>
      <c r="H1071" s="34">
        <f>H1072+H1078</f>
        <v>616164</v>
      </c>
      <c r="I1071" s="106"/>
    </row>
    <row r="1072" spans="1:9" s="35" customFormat="1" ht="47.25" outlineLevel="4">
      <c r="A1072" s="32" t="s">
        <v>639</v>
      </c>
      <c r="B1072" s="33" t="s">
        <v>717</v>
      </c>
      <c r="C1072" s="33" t="s">
        <v>187</v>
      </c>
      <c r="D1072" s="33" t="s">
        <v>14</v>
      </c>
      <c r="E1072" s="33" t="s">
        <v>280</v>
      </c>
      <c r="F1072" s="33" t="s">
        <v>1</v>
      </c>
      <c r="G1072" s="34">
        <f>G1073</f>
        <v>487403.05</v>
      </c>
      <c r="H1072" s="34">
        <f>H1073</f>
        <v>487403.05</v>
      </c>
      <c r="I1072" s="106"/>
    </row>
    <row r="1073" spans="1:8" ht="31.5" outlineLevel="5">
      <c r="A1073" s="36" t="s">
        <v>786</v>
      </c>
      <c r="B1073" s="37" t="s">
        <v>717</v>
      </c>
      <c r="C1073" s="37" t="s">
        <v>187</v>
      </c>
      <c r="D1073" s="37" t="s">
        <v>14</v>
      </c>
      <c r="E1073" s="37" t="s">
        <v>341</v>
      </c>
      <c r="F1073" s="37" t="s">
        <v>1</v>
      </c>
      <c r="G1073" s="38">
        <f>G1074+G1076</f>
        <v>487403.05</v>
      </c>
      <c r="H1073" s="38">
        <f>H1074+H1076</f>
        <v>487403.05</v>
      </c>
    </row>
    <row r="1074" spans="1:8" ht="94.5" outlineLevel="6">
      <c r="A1074" s="36" t="s">
        <v>473</v>
      </c>
      <c r="B1074" s="37" t="s">
        <v>717</v>
      </c>
      <c r="C1074" s="37" t="s">
        <v>187</v>
      </c>
      <c r="D1074" s="37" t="s">
        <v>14</v>
      </c>
      <c r="E1074" s="37" t="s">
        <v>384</v>
      </c>
      <c r="F1074" s="37" t="s">
        <v>1</v>
      </c>
      <c r="G1074" s="38">
        <f>G1075</f>
        <v>5536</v>
      </c>
      <c r="H1074" s="38">
        <f>H1075</f>
        <v>5536</v>
      </c>
    </row>
    <row r="1075" spans="1:8" ht="47.25" outlineLevel="7">
      <c r="A1075" s="36" t="s">
        <v>692</v>
      </c>
      <c r="B1075" s="37" t="s">
        <v>717</v>
      </c>
      <c r="C1075" s="37" t="s">
        <v>187</v>
      </c>
      <c r="D1075" s="37" t="s">
        <v>14</v>
      </c>
      <c r="E1075" s="37" t="s">
        <v>384</v>
      </c>
      <c r="F1075" s="37" t="s">
        <v>70</v>
      </c>
      <c r="G1075" s="38">
        <v>5536</v>
      </c>
      <c r="H1075" s="38">
        <f>G1075</f>
        <v>5536</v>
      </c>
    </row>
    <row r="1076" spans="1:8" ht="94.5" outlineLevel="6">
      <c r="A1076" s="36" t="s">
        <v>474</v>
      </c>
      <c r="B1076" s="37" t="s">
        <v>717</v>
      </c>
      <c r="C1076" s="37" t="s">
        <v>187</v>
      </c>
      <c r="D1076" s="37" t="s">
        <v>14</v>
      </c>
      <c r="E1076" s="37" t="s">
        <v>385</v>
      </c>
      <c r="F1076" s="37" t="s">
        <v>1</v>
      </c>
      <c r="G1076" s="38">
        <f>G1077</f>
        <v>481867.05</v>
      </c>
      <c r="H1076" s="38">
        <f>H1077</f>
        <v>481867.05</v>
      </c>
    </row>
    <row r="1077" spans="1:8" ht="47.25" outlineLevel="7">
      <c r="A1077" s="36" t="s">
        <v>692</v>
      </c>
      <c r="B1077" s="37" t="s">
        <v>717</v>
      </c>
      <c r="C1077" s="37" t="s">
        <v>187</v>
      </c>
      <c r="D1077" s="37" t="s">
        <v>14</v>
      </c>
      <c r="E1077" s="37" t="s">
        <v>385</v>
      </c>
      <c r="F1077" s="37" t="s">
        <v>70</v>
      </c>
      <c r="G1077" s="38">
        <f>488400-6532.95</f>
        <v>481867.05</v>
      </c>
      <c r="H1077" s="38">
        <f>G1077</f>
        <v>481867.05</v>
      </c>
    </row>
    <row r="1078" spans="1:9" s="35" customFormat="1" ht="31.5" outlineLevel="4">
      <c r="A1078" s="32" t="s">
        <v>646</v>
      </c>
      <c r="B1078" s="33" t="s">
        <v>717</v>
      </c>
      <c r="C1078" s="33" t="s">
        <v>187</v>
      </c>
      <c r="D1078" s="33" t="s">
        <v>14</v>
      </c>
      <c r="E1078" s="33" t="s">
        <v>343</v>
      </c>
      <c r="F1078" s="33" t="s">
        <v>1</v>
      </c>
      <c r="G1078" s="34">
        <f>G1079</f>
        <v>128760.95</v>
      </c>
      <c r="H1078" s="34">
        <f>H1079</f>
        <v>128760.95</v>
      </c>
      <c r="I1078" s="106"/>
    </row>
    <row r="1079" spans="1:8" ht="31.5" outlineLevel="5">
      <c r="A1079" s="36" t="s">
        <v>786</v>
      </c>
      <c r="B1079" s="37" t="s">
        <v>717</v>
      </c>
      <c r="C1079" s="37" t="s">
        <v>187</v>
      </c>
      <c r="D1079" s="37" t="s">
        <v>14</v>
      </c>
      <c r="E1079" s="37" t="s">
        <v>348</v>
      </c>
      <c r="F1079" s="37" t="s">
        <v>1</v>
      </c>
      <c r="G1079" s="38">
        <f>G1080+G1082</f>
        <v>128760.95</v>
      </c>
      <c r="H1079" s="38">
        <f>H1080+H1082</f>
        <v>128760.95</v>
      </c>
    </row>
    <row r="1080" spans="1:8" ht="94.5" outlineLevel="6">
      <c r="A1080" s="36" t="s">
        <v>473</v>
      </c>
      <c r="B1080" s="37" t="s">
        <v>717</v>
      </c>
      <c r="C1080" s="37" t="s">
        <v>187</v>
      </c>
      <c r="D1080" s="37" t="s">
        <v>14</v>
      </c>
      <c r="E1080" s="37" t="s">
        <v>386</v>
      </c>
      <c r="F1080" s="37" t="s">
        <v>1</v>
      </c>
      <c r="G1080" s="38">
        <f>G1081</f>
        <v>2228</v>
      </c>
      <c r="H1080" s="38">
        <f>H1081</f>
        <v>2228</v>
      </c>
    </row>
    <row r="1081" spans="1:8" ht="47.25" outlineLevel="7">
      <c r="A1081" s="36" t="s">
        <v>692</v>
      </c>
      <c r="B1081" s="37" t="s">
        <v>717</v>
      </c>
      <c r="C1081" s="37" t="s">
        <v>187</v>
      </c>
      <c r="D1081" s="37" t="s">
        <v>14</v>
      </c>
      <c r="E1081" s="37" t="s">
        <v>386</v>
      </c>
      <c r="F1081" s="37" t="s">
        <v>70</v>
      </c>
      <c r="G1081" s="38">
        <v>2228</v>
      </c>
      <c r="H1081" s="38">
        <f>G1081</f>
        <v>2228</v>
      </c>
    </row>
    <row r="1082" spans="1:8" ht="94.5" outlineLevel="6">
      <c r="A1082" s="36" t="s">
        <v>474</v>
      </c>
      <c r="B1082" s="37" t="s">
        <v>717</v>
      </c>
      <c r="C1082" s="37" t="s">
        <v>187</v>
      </c>
      <c r="D1082" s="37" t="s">
        <v>14</v>
      </c>
      <c r="E1082" s="37" t="s">
        <v>387</v>
      </c>
      <c r="F1082" s="37" t="s">
        <v>1</v>
      </c>
      <c r="G1082" s="38">
        <f>G1083</f>
        <v>126532.95</v>
      </c>
      <c r="H1082" s="38">
        <f>H1083</f>
        <v>126532.95</v>
      </c>
    </row>
    <row r="1083" spans="1:8" ht="47.25" outlineLevel="7">
      <c r="A1083" s="36" t="s">
        <v>692</v>
      </c>
      <c r="B1083" s="37" t="s">
        <v>717</v>
      </c>
      <c r="C1083" s="37" t="s">
        <v>187</v>
      </c>
      <c r="D1083" s="37" t="s">
        <v>14</v>
      </c>
      <c r="E1083" s="37" t="s">
        <v>387</v>
      </c>
      <c r="F1083" s="37" t="s">
        <v>70</v>
      </c>
      <c r="G1083" s="38">
        <f>120000+6532.95</f>
        <v>126532.95</v>
      </c>
      <c r="H1083" s="38">
        <f>G1083</f>
        <v>126532.95</v>
      </c>
    </row>
    <row r="1084" spans="1:9" s="35" customFormat="1" ht="15.75" outlineLevel="1">
      <c r="A1084" s="32" t="s">
        <v>700</v>
      </c>
      <c r="B1084" s="33" t="s">
        <v>717</v>
      </c>
      <c r="C1084" s="33" t="s">
        <v>63</v>
      </c>
      <c r="D1084" s="33" t="s">
        <v>3</v>
      </c>
      <c r="E1084" s="33" t="s">
        <v>4</v>
      </c>
      <c r="F1084" s="33" t="s">
        <v>1</v>
      </c>
      <c r="G1084" s="34">
        <f>G1085</f>
        <v>1400050</v>
      </c>
      <c r="H1084" s="34"/>
      <c r="I1084" s="106"/>
    </row>
    <row r="1085" spans="1:9" s="35" customFormat="1" ht="31.5" outlineLevel="2">
      <c r="A1085" s="32" t="s">
        <v>685</v>
      </c>
      <c r="B1085" s="33" t="s">
        <v>717</v>
      </c>
      <c r="C1085" s="33" t="s">
        <v>63</v>
      </c>
      <c r="D1085" s="33" t="s">
        <v>2</v>
      </c>
      <c r="E1085" s="33" t="s">
        <v>4</v>
      </c>
      <c r="F1085" s="33" t="s">
        <v>1</v>
      </c>
      <c r="G1085" s="34">
        <f>G1086</f>
        <v>1400050</v>
      </c>
      <c r="H1085" s="34"/>
      <c r="I1085" s="106"/>
    </row>
    <row r="1086" spans="1:9" s="35" customFormat="1" ht="63" outlineLevel="3">
      <c r="A1086" s="32" t="s">
        <v>658</v>
      </c>
      <c r="B1086" s="33" t="s">
        <v>717</v>
      </c>
      <c r="C1086" s="33" t="s">
        <v>63</v>
      </c>
      <c r="D1086" s="33" t="s">
        <v>2</v>
      </c>
      <c r="E1086" s="33" t="s">
        <v>297</v>
      </c>
      <c r="F1086" s="33" t="s">
        <v>1</v>
      </c>
      <c r="G1086" s="34">
        <f>G1087</f>
        <v>1400050</v>
      </c>
      <c r="H1086" s="34"/>
      <c r="I1086" s="106"/>
    </row>
    <row r="1087" spans="1:9" s="35" customFormat="1" ht="31.5" outlineLevel="4">
      <c r="A1087" s="32" t="s">
        <v>649</v>
      </c>
      <c r="B1087" s="33" t="s">
        <v>717</v>
      </c>
      <c r="C1087" s="33" t="s">
        <v>63</v>
      </c>
      <c r="D1087" s="33" t="s">
        <v>2</v>
      </c>
      <c r="E1087" s="33" t="s">
        <v>402</v>
      </c>
      <c r="F1087" s="33" t="s">
        <v>1</v>
      </c>
      <c r="G1087" s="34">
        <f>G1088+G1092</f>
        <v>1400050</v>
      </c>
      <c r="H1087" s="34"/>
      <c r="I1087" s="106"/>
    </row>
    <row r="1088" spans="1:8" ht="47.25" outlineLevel="5">
      <c r="A1088" s="36" t="s">
        <v>826</v>
      </c>
      <c r="B1088" s="37" t="s">
        <v>717</v>
      </c>
      <c r="C1088" s="37" t="s">
        <v>63</v>
      </c>
      <c r="D1088" s="37" t="s">
        <v>2</v>
      </c>
      <c r="E1088" s="37" t="s">
        <v>403</v>
      </c>
      <c r="F1088" s="37" t="s">
        <v>1</v>
      </c>
      <c r="G1088" s="38">
        <f>G1089</f>
        <v>835992.8</v>
      </c>
      <c r="H1088" s="38"/>
    </row>
    <row r="1089" spans="1:8" ht="31.5" outlineLevel="6">
      <c r="A1089" s="36" t="s">
        <v>441</v>
      </c>
      <c r="B1089" s="37" t="s">
        <v>717</v>
      </c>
      <c r="C1089" s="37" t="s">
        <v>63</v>
      </c>
      <c r="D1089" s="37" t="s">
        <v>2</v>
      </c>
      <c r="E1089" s="37" t="s">
        <v>404</v>
      </c>
      <c r="F1089" s="37" t="s">
        <v>1</v>
      </c>
      <c r="G1089" s="38">
        <f>G1091+G1090</f>
        <v>835992.8</v>
      </c>
      <c r="H1089" s="38"/>
    </row>
    <row r="1090" spans="1:8" ht="94.5" outlineLevel="7">
      <c r="A1090" s="36" t="s">
        <v>704</v>
      </c>
      <c r="B1090" s="37" t="s">
        <v>717</v>
      </c>
      <c r="C1090" s="37" t="s">
        <v>63</v>
      </c>
      <c r="D1090" s="37" t="s">
        <v>2</v>
      </c>
      <c r="E1090" s="37" t="s">
        <v>404</v>
      </c>
      <c r="F1090" s="37" t="s">
        <v>10</v>
      </c>
      <c r="G1090" s="38">
        <f>300000-60000-37057.2</f>
        <v>202942.8</v>
      </c>
      <c r="H1090" s="38"/>
    </row>
    <row r="1091" spans="1:8" ht="31.5" outlineLevel="7">
      <c r="A1091" s="36" t="s">
        <v>689</v>
      </c>
      <c r="B1091" s="37" t="s">
        <v>717</v>
      </c>
      <c r="C1091" s="37" t="s">
        <v>63</v>
      </c>
      <c r="D1091" s="37" t="s">
        <v>2</v>
      </c>
      <c r="E1091" s="37" t="s">
        <v>404</v>
      </c>
      <c r="F1091" s="37" t="s">
        <v>17</v>
      </c>
      <c r="G1091" s="38">
        <f>580050+60000+13000-20000</f>
        <v>633050</v>
      </c>
      <c r="H1091" s="38"/>
    </row>
    <row r="1092" spans="1:8" ht="78.75" outlineLevel="5">
      <c r="A1092" s="36" t="s">
        <v>827</v>
      </c>
      <c r="B1092" s="37" t="s">
        <v>717</v>
      </c>
      <c r="C1092" s="37" t="s">
        <v>63</v>
      </c>
      <c r="D1092" s="37" t="s">
        <v>2</v>
      </c>
      <c r="E1092" s="37" t="s">
        <v>405</v>
      </c>
      <c r="F1092" s="37" t="s">
        <v>1</v>
      </c>
      <c r="G1092" s="38">
        <f>G1093</f>
        <v>564057.2</v>
      </c>
      <c r="H1092" s="38"/>
    </row>
    <row r="1093" spans="1:8" ht="31.5" outlineLevel="6">
      <c r="A1093" s="36" t="s">
        <v>441</v>
      </c>
      <c r="B1093" s="37" t="s">
        <v>717</v>
      </c>
      <c r="C1093" s="37" t="s">
        <v>63</v>
      </c>
      <c r="D1093" s="37" t="s">
        <v>2</v>
      </c>
      <c r="E1093" s="37" t="s">
        <v>406</v>
      </c>
      <c r="F1093" s="37" t="s">
        <v>1</v>
      </c>
      <c r="G1093" s="38">
        <f>G1095+G1094</f>
        <v>564057.2</v>
      </c>
      <c r="H1093" s="38"/>
    </row>
    <row r="1094" spans="1:8" ht="94.5" outlineLevel="7">
      <c r="A1094" s="36" t="s">
        <v>704</v>
      </c>
      <c r="B1094" s="37" t="s">
        <v>717</v>
      </c>
      <c r="C1094" s="37" t="s">
        <v>63</v>
      </c>
      <c r="D1094" s="37" t="s">
        <v>2</v>
      </c>
      <c r="E1094" s="37" t="s">
        <v>406</v>
      </c>
      <c r="F1094" s="37" t="s">
        <v>10</v>
      </c>
      <c r="G1094" s="38">
        <f>240000+52104</f>
        <v>292104</v>
      </c>
      <c r="H1094" s="38"/>
    </row>
    <row r="1095" spans="1:8" ht="31.5" outlineLevel="7">
      <c r="A1095" s="36" t="s">
        <v>689</v>
      </c>
      <c r="B1095" s="37" t="s">
        <v>717</v>
      </c>
      <c r="C1095" s="37" t="s">
        <v>63</v>
      </c>
      <c r="D1095" s="37" t="s">
        <v>2</v>
      </c>
      <c r="E1095" s="37" t="s">
        <v>406</v>
      </c>
      <c r="F1095" s="37" t="s">
        <v>17</v>
      </c>
      <c r="G1095" s="38">
        <f>280000-13000+4953.2</f>
        <v>271953.2</v>
      </c>
      <c r="H1095" s="38"/>
    </row>
    <row r="1096" spans="1:9" s="35" customFormat="1" ht="47.25">
      <c r="A1096" s="32" t="s">
        <v>828</v>
      </c>
      <c r="B1096" s="33" t="s">
        <v>718</v>
      </c>
      <c r="C1096" s="33" t="s">
        <v>3</v>
      </c>
      <c r="D1096" s="33" t="s">
        <v>3</v>
      </c>
      <c r="E1096" s="33" t="s">
        <v>4</v>
      </c>
      <c r="F1096" s="33" t="s">
        <v>1</v>
      </c>
      <c r="G1096" s="34">
        <f>G1097</f>
        <v>4619907.350000001</v>
      </c>
      <c r="H1096" s="34"/>
      <c r="I1096" s="106"/>
    </row>
    <row r="1097" spans="1:9" s="35" customFormat="1" ht="15.75" outlineLevel="1">
      <c r="A1097" s="32" t="s">
        <v>688</v>
      </c>
      <c r="B1097" s="33" t="s">
        <v>718</v>
      </c>
      <c r="C1097" s="33" t="s">
        <v>2</v>
      </c>
      <c r="D1097" s="33" t="s">
        <v>3</v>
      </c>
      <c r="E1097" s="33" t="s">
        <v>4</v>
      </c>
      <c r="F1097" s="33" t="s">
        <v>1</v>
      </c>
      <c r="G1097" s="34">
        <f>G1098+G1117</f>
        <v>4619907.350000001</v>
      </c>
      <c r="H1097" s="34"/>
      <c r="I1097" s="106"/>
    </row>
    <row r="1098" spans="1:9" s="35" customFormat="1" ht="63" outlineLevel="2">
      <c r="A1098" s="32" t="s">
        <v>662</v>
      </c>
      <c r="B1098" s="33" t="s">
        <v>718</v>
      </c>
      <c r="C1098" s="33" t="s">
        <v>2</v>
      </c>
      <c r="D1098" s="33" t="s">
        <v>60</v>
      </c>
      <c r="E1098" s="33" t="s">
        <v>4</v>
      </c>
      <c r="F1098" s="33" t="s">
        <v>1</v>
      </c>
      <c r="G1098" s="34">
        <f>G1099+G1108</f>
        <v>4463360.850000001</v>
      </c>
      <c r="H1098" s="34"/>
      <c r="I1098" s="106"/>
    </row>
    <row r="1099" spans="1:9" s="35" customFormat="1" ht="63" outlineLevel="3">
      <c r="A1099" s="32" t="s">
        <v>652</v>
      </c>
      <c r="B1099" s="33" t="s">
        <v>718</v>
      </c>
      <c r="C1099" s="33" t="s">
        <v>2</v>
      </c>
      <c r="D1099" s="33" t="s">
        <v>60</v>
      </c>
      <c r="E1099" s="33" t="s">
        <v>6</v>
      </c>
      <c r="F1099" s="33" t="s">
        <v>1</v>
      </c>
      <c r="G1099" s="34">
        <f>G1100</f>
        <v>73514</v>
      </c>
      <c r="H1099" s="34"/>
      <c r="I1099" s="106"/>
    </row>
    <row r="1100" spans="1:9" s="35" customFormat="1" ht="31.5" outlineLevel="4">
      <c r="A1100" s="32" t="s">
        <v>609</v>
      </c>
      <c r="B1100" s="33" t="s">
        <v>718</v>
      </c>
      <c r="C1100" s="33" t="s">
        <v>2</v>
      </c>
      <c r="D1100" s="33" t="s">
        <v>60</v>
      </c>
      <c r="E1100" s="33" t="s">
        <v>7</v>
      </c>
      <c r="F1100" s="33" t="s">
        <v>1</v>
      </c>
      <c r="G1100" s="34">
        <f>G1101+G1105</f>
        <v>73514</v>
      </c>
      <c r="H1100" s="34"/>
      <c r="I1100" s="106"/>
    </row>
    <row r="1101" spans="1:8" ht="63" outlineLevel="5">
      <c r="A1101" s="36" t="s">
        <v>723</v>
      </c>
      <c r="B1101" s="37" t="s">
        <v>718</v>
      </c>
      <c r="C1101" s="37" t="s">
        <v>2</v>
      </c>
      <c r="D1101" s="37" t="s">
        <v>60</v>
      </c>
      <c r="E1101" s="37" t="s">
        <v>15</v>
      </c>
      <c r="F1101" s="37" t="s">
        <v>1</v>
      </c>
      <c r="G1101" s="38">
        <f>G1102</f>
        <v>57400</v>
      </c>
      <c r="H1101" s="38"/>
    </row>
    <row r="1102" spans="1:8" ht="31.5" outlineLevel="6">
      <c r="A1102" s="36" t="s">
        <v>430</v>
      </c>
      <c r="B1102" s="37" t="s">
        <v>718</v>
      </c>
      <c r="C1102" s="37" t="s">
        <v>2</v>
      </c>
      <c r="D1102" s="37" t="s">
        <v>60</v>
      </c>
      <c r="E1102" s="37" t="s">
        <v>16</v>
      </c>
      <c r="F1102" s="37" t="s">
        <v>1</v>
      </c>
      <c r="G1102" s="38">
        <f>G1104+G1103</f>
        <v>57400</v>
      </c>
      <c r="H1102" s="38"/>
    </row>
    <row r="1103" spans="1:8" ht="94.5" outlineLevel="7">
      <c r="A1103" s="36" t="s">
        <v>704</v>
      </c>
      <c r="B1103" s="37" t="s">
        <v>718</v>
      </c>
      <c r="C1103" s="37" t="s">
        <v>2</v>
      </c>
      <c r="D1103" s="37" t="s">
        <v>60</v>
      </c>
      <c r="E1103" s="37" t="s">
        <v>16</v>
      </c>
      <c r="F1103" s="37" t="s">
        <v>10</v>
      </c>
      <c r="G1103" s="38">
        <v>30700</v>
      </c>
      <c r="H1103" s="38"/>
    </row>
    <row r="1104" spans="1:8" ht="31.5" outlineLevel="7">
      <c r="A1104" s="36" t="s">
        <v>689</v>
      </c>
      <c r="B1104" s="37" t="s">
        <v>718</v>
      </c>
      <c r="C1104" s="37" t="s">
        <v>2</v>
      </c>
      <c r="D1104" s="37" t="s">
        <v>60</v>
      </c>
      <c r="E1104" s="37" t="s">
        <v>16</v>
      </c>
      <c r="F1104" s="37" t="s">
        <v>17</v>
      </c>
      <c r="G1104" s="38">
        <v>26700</v>
      </c>
      <c r="H1104" s="38"/>
    </row>
    <row r="1105" spans="1:8" ht="15.75" outlineLevel="5">
      <c r="A1105" s="36" t="s">
        <v>724</v>
      </c>
      <c r="B1105" s="37" t="s">
        <v>718</v>
      </c>
      <c r="C1105" s="37" t="s">
        <v>2</v>
      </c>
      <c r="D1105" s="37" t="s">
        <v>60</v>
      </c>
      <c r="E1105" s="37" t="s">
        <v>18</v>
      </c>
      <c r="F1105" s="37" t="s">
        <v>1</v>
      </c>
      <c r="G1105" s="38">
        <f>G1106</f>
        <v>16114</v>
      </c>
      <c r="H1105" s="38"/>
    </row>
    <row r="1106" spans="1:8" ht="31.5" outlineLevel="6">
      <c r="A1106" s="36" t="s">
        <v>430</v>
      </c>
      <c r="B1106" s="37" t="s">
        <v>718</v>
      </c>
      <c r="C1106" s="37" t="s">
        <v>2</v>
      </c>
      <c r="D1106" s="37" t="s">
        <v>60</v>
      </c>
      <c r="E1106" s="37" t="s">
        <v>19</v>
      </c>
      <c r="F1106" s="37" t="s">
        <v>1</v>
      </c>
      <c r="G1106" s="38">
        <f>G1107</f>
        <v>16114</v>
      </c>
      <c r="H1106" s="38"/>
    </row>
    <row r="1107" spans="1:8" ht="31.5" outlineLevel="7">
      <c r="A1107" s="36" t="s">
        <v>689</v>
      </c>
      <c r="B1107" s="37" t="s">
        <v>718</v>
      </c>
      <c r="C1107" s="37" t="s">
        <v>2</v>
      </c>
      <c r="D1107" s="37" t="s">
        <v>60</v>
      </c>
      <c r="E1107" s="37" t="s">
        <v>19</v>
      </c>
      <c r="F1107" s="37" t="s">
        <v>17</v>
      </c>
      <c r="G1107" s="38">
        <v>16114</v>
      </c>
      <c r="H1107" s="38"/>
    </row>
    <row r="1108" spans="1:9" s="35" customFormat="1" ht="15.75" outlineLevel="3">
      <c r="A1108" s="32" t="s">
        <v>490</v>
      </c>
      <c r="B1108" s="33" t="s">
        <v>718</v>
      </c>
      <c r="C1108" s="33" t="s">
        <v>2</v>
      </c>
      <c r="D1108" s="33" t="s">
        <v>60</v>
      </c>
      <c r="E1108" s="33" t="s">
        <v>11</v>
      </c>
      <c r="F1108" s="33" t="s">
        <v>1</v>
      </c>
      <c r="G1108" s="34">
        <f>G1109+G1111+G1113+G1115</f>
        <v>4389846.850000001</v>
      </c>
      <c r="H1108" s="34"/>
      <c r="I1108" s="106"/>
    </row>
    <row r="1109" spans="1:8" ht="63" outlineLevel="6">
      <c r="A1109" s="36" t="s">
        <v>437</v>
      </c>
      <c r="B1109" s="37" t="s">
        <v>718</v>
      </c>
      <c r="C1109" s="37" t="s">
        <v>2</v>
      </c>
      <c r="D1109" s="37" t="s">
        <v>60</v>
      </c>
      <c r="E1109" s="37" t="s">
        <v>61</v>
      </c>
      <c r="F1109" s="37" t="s">
        <v>1</v>
      </c>
      <c r="G1109" s="38">
        <f>G1110</f>
        <v>1751022.02</v>
      </c>
      <c r="H1109" s="38"/>
    </row>
    <row r="1110" spans="1:8" ht="94.5" outlineLevel="7">
      <c r="A1110" s="36" t="s">
        <v>704</v>
      </c>
      <c r="B1110" s="37" t="s">
        <v>718</v>
      </c>
      <c r="C1110" s="37" t="s">
        <v>2</v>
      </c>
      <c r="D1110" s="37" t="s">
        <v>60</v>
      </c>
      <c r="E1110" s="37" t="s">
        <v>61</v>
      </c>
      <c r="F1110" s="37" t="s">
        <v>10</v>
      </c>
      <c r="G1110" s="38">
        <f>1299819+328873.41+125144.25-2814.64</f>
        <v>1751022.02</v>
      </c>
      <c r="H1110" s="38" t="s">
        <v>855</v>
      </c>
    </row>
    <row r="1111" spans="1:8" ht="31.5" outlineLevel="6">
      <c r="A1111" s="36" t="s">
        <v>434</v>
      </c>
      <c r="B1111" s="37" t="s">
        <v>718</v>
      </c>
      <c r="C1111" s="37" t="s">
        <v>2</v>
      </c>
      <c r="D1111" s="37" t="s">
        <v>60</v>
      </c>
      <c r="E1111" s="37" t="s">
        <v>21</v>
      </c>
      <c r="F1111" s="37" t="s">
        <v>1</v>
      </c>
      <c r="G1111" s="38">
        <f>G1112</f>
        <v>2047661</v>
      </c>
      <c r="H1111" s="38"/>
    </row>
    <row r="1112" spans="1:8" ht="94.5" outlineLevel="7">
      <c r="A1112" s="36" t="s">
        <v>704</v>
      </c>
      <c r="B1112" s="37" t="s">
        <v>718</v>
      </c>
      <c r="C1112" s="37" t="s">
        <v>2</v>
      </c>
      <c r="D1112" s="37" t="s">
        <v>60</v>
      </c>
      <c r="E1112" s="37" t="s">
        <v>21</v>
      </c>
      <c r="F1112" s="37" t="s">
        <v>10</v>
      </c>
      <c r="G1112" s="38">
        <v>2047661</v>
      </c>
      <c r="H1112" s="38"/>
    </row>
    <row r="1113" spans="1:8" ht="63" outlineLevel="6">
      <c r="A1113" s="36" t="s">
        <v>436</v>
      </c>
      <c r="B1113" s="37" t="s">
        <v>718</v>
      </c>
      <c r="C1113" s="37" t="s">
        <v>2</v>
      </c>
      <c r="D1113" s="37" t="s">
        <v>60</v>
      </c>
      <c r="E1113" s="37" t="s">
        <v>62</v>
      </c>
      <c r="F1113" s="37" t="s">
        <v>1</v>
      </c>
      <c r="G1113" s="38">
        <f>G1114</f>
        <v>533598.17</v>
      </c>
      <c r="H1113" s="38"/>
    </row>
    <row r="1114" spans="1:8" ht="94.5" outlineLevel="7">
      <c r="A1114" s="36" t="s">
        <v>704</v>
      </c>
      <c r="B1114" s="37" t="s">
        <v>718</v>
      </c>
      <c r="C1114" s="37" t="s">
        <v>2</v>
      </c>
      <c r="D1114" s="37" t="s">
        <v>60</v>
      </c>
      <c r="E1114" s="37" t="s">
        <v>62</v>
      </c>
      <c r="F1114" s="37" t="s">
        <v>10</v>
      </c>
      <c r="G1114" s="38">
        <f>548195-1159.63-13437.2</f>
        <v>533598.17</v>
      </c>
      <c r="H1114" s="38"/>
    </row>
    <row r="1115" spans="1:8" ht="78.75" outlineLevel="6">
      <c r="A1115" s="36" t="s">
        <v>432</v>
      </c>
      <c r="B1115" s="37" t="s">
        <v>718</v>
      </c>
      <c r="C1115" s="37" t="s">
        <v>2</v>
      </c>
      <c r="D1115" s="37" t="s">
        <v>60</v>
      </c>
      <c r="E1115" s="37" t="s">
        <v>13</v>
      </c>
      <c r="F1115" s="37" t="s">
        <v>1</v>
      </c>
      <c r="G1115" s="38">
        <f>G1116</f>
        <v>57565.66</v>
      </c>
      <c r="H1115" s="38"/>
    </row>
    <row r="1116" spans="1:8" ht="94.5" outlineLevel="7">
      <c r="A1116" s="36" t="s">
        <v>704</v>
      </c>
      <c r="B1116" s="37" t="s">
        <v>718</v>
      </c>
      <c r="C1116" s="37" t="s">
        <v>2</v>
      </c>
      <c r="D1116" s="37" t="s">
        <v>60</v>
      </c>
      <c r="E1116" s="37" t="s">
        <v>13</v>
      </c>
      <c r="F1116" s="37" t="s">
        <v>10</v>
      </c>
      <c r="G1116" s="38">
        <f>86000-28434.34</f>
        <v>57565.66</v>
      </c>
      <c r="H1116" s="38"/>
    </row>
    <row r="1117" spans="1:9" s="35" customFormat="1" ht="15.75" outlineLevel="2">
      <c r="A1117" s="32" t="s">
        <v>664</v>
      </c>
      <c r="B1117" s="33" t="s">
        <v>718</v>
      </c>
      <c r="C1117" s="33" t="s">
        <v>2</v>
      </c>
      <c r="D1117" s="33" t="s">
        <v>66</v>
      </c>
      <c r="E1117" s="33" t="s">
        <v>4</v>
      </c>
      <c r="F1117" s="33" t="s">
        <v>1</v>
      </c>
      <c r="G1117" s="34">
        <f>G1118</f>
        <v>156546.5</v>
      </c>
      <c r="H1117" s="34"/>
      <c r="I1117" s="106"/>
    </row>
    <row r="1118" spans="1:9" s="35" customFormat="1" ht="47.25" outlineLevel="3">
      <c r="A1118" s="32" t="s">
        <v>655</v>
      </c>
      <c r="B1118" s="33" t="s">
        <v>718</v>
      </c>
      <c r="C1118" s="33" t="s">
        <v>2</v>
      </c>
      <c r="D1118" s="33" t="s">
        <v>66</v>
      </c>
      <c r="E1118" s="33" t="s">
        <v>90</v>
      </c>
      <c r="F1118" s="33" t="s">
        <v>1</v>
      </c>
      <c r="G1118" s="34">
        <f>G1119</f>
        <v>156546.5</v>
      </c>
      <c r="H1118" s="34"/>
      <c r="I1118" s="106"/>
    </row>
    <row r="1119" spans="1:9" s="35" customFormat="1" ht="47.25" outlineLevel="4">
      <c r="A1119" s="32" t="s">
        <v>620</v>
      </c>
      <c r="B1119" s="33" t="s">
        <v>718</v>
      </c>
      <c r="C1119" s="33" t="s">
        <v>2</v>
      </c>
      <c r="D1119" s="33" t="s">
        <v>66</v>
      </c>
      <c r="E1119" s="33" t="s">
        <v>91</v>
      </c>
      <c r="F1119" s="33" t="s">
        <v>1</v>
      </c>
      <c r="G1119" s="34">
        <f>G1120+G1123</f>
        <v>156546.5</v>
      </c>
      <c r="H1119" s="34"/>
      <c r="I1119" s="106"/>
    </row>
    <row r="1120" spans="1:8" ht="47.25" outlineLevel="5">
      <c r="A1120" s="36" t="s">
        <v>725</v>
      </c>
      <c r="B1120" s="37" t="s">
        <v>718</v>
      </c>
      <c r="C1120" s="37" t="s">
        <v>2</v>
      </c>
      <c r="D1120" s="37" t="s">
        <v>66</v>
      </c>
      <c r="E1120" s="37" t="s">
        <v>92</v>
      </c>
      <c r="F1120" s="37" t="s">
        <v>1</v>
      </c>
      <c r="G1120" s="38">
        <f>G1121</f>
        <v>60000</v>
      </c>
      <c r="H1120" s="38"/>
    </row>
    <row r="1121" spans="1:8" ht="31.5" outlineLevel="6">
      <c r="A1121" s="36" t="s">
        <v>441</v>
      </c>
      <c r="B1121" s="37" t="s">
        <v>718</v>
      </c>
      <c r="C1121" s="37" t="s">
        <v>2</v>
      </c>
      <c r="D1121" s="37" t="s">
        <v>66</v>
      </c>
      <c r="E1121" s="37" t="s">
        <v>93</v>
      </c>
      <c r="F1121" s="37" t="s">
        <v>1</v>
      </c>
      <c r="G1121" s="38">
        <f>G1122</f>
        <v>60000</v>
      </c>
      <c r="H1121" s="38"/>
    </row>
    <row r="1122" spans="1:8" ht="31.5" outlineLevel="7">
      <c r="A1122" s="36" t="s">
        <v>689</v>
      </c>
      <c r="B1122" s="37" t="s">
        <v>718</v>
      </c>
      <c r="C1122" s="37" t="s">
        <v>2</v>
      </c>
      <c r="D1122" s="37" t="s">
        <v>66</v>
      </c>
      <c r="E1122" s="37" t="s">
        <v>93</v>
      </c>
      <c r="F1122" s="37" t="s">
        <v>17</v>
      </c>
      <c r="G1122" s="38">
        <v>60000</v>
      </c>
      <c r="H1122" s="38"/>
    </row>
    <row r="1123" spans="1:8" ht="47.25" outlineLevel="5">
      <c r="A1123" s="36" t="s">
        <v>726</v>
      </c>
      <c r="B1123" s="37" t="s">
        <v>718</v>
      </c>
      <c r="C1123" s="37" t="s">
        <v>2</v>
      </c>
      <c r="D1123" s="37" t="s">
        <v>66</v>
      </c>
      <c r="E1123" s="37" t="s">
        <v>94</v>
      </c>
      <c r="F1123" s="37" t="s">
        <v>1</v>
      </c>
      <c r="G1123" s="38">
        <f>G1124</f>
        <v>96546.5</v>
      </c>
      <c r="H1123" s="38"/>
    </row>
    <row r="1124" spans="1:8" ht="31.5" outlineLevel="6">
      <c r="A1124" s="36" t="s">
        <v>441</v>
      </c>
      <c r="B1124" s="37" t="s">
        <v>718</v>
      </c>
      <c r="C1124" s="37" t="s">
        <v>2</v>
      </c>
      <c r="D1124" s="37" t="s">
        <v>66</v>
      </c>
      <c r="E1124" s="37" t="s">
        <v>95</v>
      </c>
      <c r="F1124" s="37" t="s">
        <v>1</v>
      </c>
      <c r="G1124" s="38">
        <f>G1125</f>
        <v>96546.5</v>
      </c>
      <c r="H1124" s="38"/>
    </row>
    <row r="1125" spans="1:8" ht="31.5" outlineLevel="7">
      <c r="A1125" s="36" t="s">
        <v>689</v>
      </c>
      <c r="B1125" s="37" t="s">
        <v>718</v>
      </c>
      <c r="C1125" s="37" t="s">
        <v>2</v>
      </c>
      <c r="D1125" s="37" t="s">
        <v>66</v>
      </c>
      <c r="E1125" s="37" t="s">
        <v>95</v>
      </c>
      <c r="F1125" s="37" t="s">
        <v>17</v>
      </c>
      <c r="G1125" s="38">
        <v>96546.5</v>
      </c>
      <c r="H1125" s="38"/>
    </row>
    <row r="1126" spans="1:9" s="35" customFormat="1" ht="21.75" customHeight="1" outlineLevel="7">
      <c r="A1126" s="196" t="s">
        <v>414</v>
      </c>
      <c r="B1126" s="197"/>
      <c r="C1126" s="197"/>
      <c r="D1126" s="197"/>
      <c r="E1126" s="197"/>
      <c r="F1126" s="198"/>
      <c r="G1126" s="34">
        <f>G1096+G906+G641+G580+G298+G65+G12</f>
        <v>2324114390.8900003</v>
      </c>
      <c r="H1126" s="34">
        <f>H65+H298+H641+H906</f>
        <v>855338484.55</v>
      </c>
      <c r="I1126" s="106"/>
    </row>
    <row r="1127" spans="1:8" ht="12.75" customHeight="1">
      <c r="A1127" s="39"/>
      <c r="B1127" s="39"/>
      <c r="C1127" s="39"/>
      <c r="D1127" s="39"/>
      <c r="E1127" s="39"/>
      <c r="F1127" s="39"/>
      <c r="G1127" s="39"/>
      <c r="H1127" s="39"/>
    </row>
    <row r="1128" spans="7:8" ht="15.75">
      <c r="G1128" s="40">
        <f>2324477065.53</f>
        <v>2324477065.53</v>
      </c>
      <c r="H1128" s="40">
        <f>855338484.55</f>
        <v>855338484.55</v>
      </c>
    </row>
    <row r="1129" spans="7:8" ht="15.75">
      <c r="G1129" s="40"/>
      <c r="H1129" s="40"/>
    </row>
    <row r="1130" spans="7:8" ht="15.75">
      <c r="G1130" s="40">
        <f>G1126-G1128</f>
        <v>-362674.6399998665</v>
      </c>
      <c r="H1130" s="40">
        <f>H1126-H1128</f>
        <v>0</v>
      </c>
    </row>
    <row r="1131" spans="7:8" ht="15.75">
      <c r="G1131" s="40"/>
      <c r="H1131" s="40"/>
    </row>
    <row r="1132" spans="7:8" ht="15.75">
      <c r="G1132" s="40">
        <f>-1762510.11+411976.14+987859.33</f>
        <v>-362674.64000000025</v>
      </c>
      <c r="H1132" s="40" t="s">
        <v>948</v>
      </c>
    </row>
    <row r="1133" spans="7:8" ht="15.75">
      <c r="G1133" s="40"/>
      <c r="H1133" s="40"/>
    </row>
    <row r="1134" ht="15.75">
      <c r="G1134" s="40"/>
    </row>
    <row r="1136" ht="15.75">
      <c r="G1136" s="40">
        <f>G1132+G1134</f>
        <v>-362674.64000000025</v>
      </c>
    </row>
    <row r="1137" ht="15.75">
      <c r="G1137" s="40">
        <f>G1130-G1136</f>
        <v>1.337612047791481E-07</v>
      </c>
    </row>
  </sheetData>
  <sheetProtection/>
  <mergeCells count="7">
    <mergeCell ref="A1126:F1126"/>
    <mergeCell ref="A7:H7"/>
    <mergeCell ref="A1:H1"/>
    <mergeCell ref="A2:H2"/>
    <mergeCell ref="A3:H3"/>
    <mergeCell ref="A4:H4"/>
    <mergeCell ref="A5:H5"/>
  </mergeCells>
  <printOptions/>
  <pageMargins left="0.7874015748031497" right="0.5905511811023623" top="0.5905511811023623" bottom="0.5905511811023623" header="0.3937007874015748" footer="0.3937007874015748"/>
  <pageSetup fitToHeight="0" fitToWidth="1" horizontalDpi="600" verticalDpi="600" orientation="portrait" paperSize="9" scale="61" r:id="rId1"/>
  <headerFooter>
    <oddFooter>&amp;CСтраница &amp;P&amp;R&amp;A</oddFooter>
  </headerFooter>
  <rowBreaks count="1" manualBreakCount="1">
    <brk id="11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4"/>
  <sheetViews>
    <sheetView showGridLines="0" zoomScaleSheetLayoutView="100" zoomScalePageLayoutView="0" workbookViewId="0" topLeftCell="A514">
      <selection activeCell="B519" sqref="B519"/>
    </sheetView>
  </sheetViews>
  <sheetFormatPr defaultColWidth="9.140625" defaultRowHeight="15" outlineLevelRow="5"/>
  <cols>
    <col min="1" max="1" width="31.421875" style="4" customWidth="1"/>
    <col min="2" max="2" width="14.421875" style="4" customWidth="1"/>
    <col min="3" max="3" width="11.8515625" style="4" customWidth="1"/>
    <col min="4" max="4" width="9.28125" style="4" customWidth="1"/>
    <col min="5" max="5" width="12.28125" style="4" customWidth="1"/>
    <col min="6" max="6" width="20.421875" style="4" customWidth="1"/>
    <col min="7" max="7" width="18.140625" style="4" customWidth="1"/>
    <col min="8" max="8" width="12.421875" style="76" bestFit="1" customWidth="1"/>
    <col min="9" max="10" width="18.8515625" style="76" hidden="1" customWidth="1"/>
    <col min="11" max="11" width="9.140625" style="76" hidden="1" customWidth="1"/>
    <col min="12" max="12" width="19.8515625" style="76" hidden="1" customWidth="1"/>
    <col min="13" max="13" width="15.140625" style="76" hidden="1" customWidth="1"/>
    <col min="14" max="16384" width="9.140625" style="76" customWidth="1"/>
  </cols>
  <sheetData>
    <row r="1" spans="1:7" s="28" customFormat="1" ht="15.75">
      <c r="A1" s="188" t="s">
        <v>866</v>
      </c>
      <c r="B1" s="188"/>
      <c r="C1" s="188"/>
      <c r="D1" s="188"/>
      <c r="E1" s="188"/>
      <c r="F1" s="188"/>
      <c r="G1" s="188"/>
    </row>
    <row r="2" spans="1:7" s="28" customFormat="1" ht="15.75">
      <c r="A2" s="188" t="s">
        <v>421</v>
      </c>
      <c r="B2" s="188"/>
      <c r="C2" s="188"/>
      <c r="D2" s="188"/>
      <c r="E2" s="188"/>
      <c r="F2" s="188"/>
      <c r="G2" s="188"/>
    </row>
    <row r="3" spans="1:7" s="78" customFormat="1" ht="15" customHeight="1">
      <c r="A3" s="190" t="s">
        <v>875</v>
      </c>
      <c r="B3" s="190"/>
      <c r="C3" s="190"/>
      <c r="D3" s="190"/>
      <c r="E3" s="190"/>
      <c r="F3" s="190"/>
      <c r="G3" s="190"/>
    </row>
    <row r="4" spans="1:7" s="78" customFormat="1" ht="15" customHeight="1">
      <c r="A4" s="188" t="s">
        <v>707</v>
      </c>
      <c r="B4" s="188"/>
      <c r="C4" s="188"/>
      <c r="D4" s="188"/>
      <c r="E4" s="188"/>
      <c r="F4" s="188"/>
      <c r="G4" s="188"/>
    </row>
    <row r="5" spans="1:7" s="78" customFormat="1" ht="15.75" customHeight="1">
      <c r="A5" s="188"/>
      <c r="B5" s="188"/>
      <c r="C5" s="188"/>
      <c r="D5" s="188"/>
      <c r="E5" s="188"/>
      <c r="F5" s="188"/>
      <c r="G5" s="188"/>
    </row>
    <row r="6" spans="1:7" s="78" customFormat="1" ht="75" customHeight="1">
      <c r="A6" s="203" t="s">
        <v>874</v>
      </c>
      <c r="B6" s="203"/>
      <c r="C6" s="203"/>
      <c r="D6" s="203"/>
      <c r="E6" s="203"/>
      <c r="F6" s="203"/>
      <c r="G6" s="203"/>
    </row>
    <row r="7" spans="1:7" s="78" customFormat="1" ht="21" customHeight="1">
      <c r="A7" s="204" t="s">
        <v>850</v>
      </c>
      <c r="B7" s="204"/>
      <c r="C7" s="204"/>
      <c r="D7" s="204"/>
      <c r="E7" s="204"/>
      <c r="F7" s="204"/>
      <c r="G7" s="204"/>
    </row>
    <row r="8" spans="1:7" ht="126">
      <c r="A8" s="81" t="s">
        <v>424</v>
      </c>
      <c r="B8" s="61" t="s">
        <v>427</v>
      </c>
      <c r="C8" s="77" t="s">
        <v>865</v>
      </c>
      <c r="D8" s="81" t="s">
        <v>425</v>
      </c>
      <c r="E8" s="81" t="s">
        <v>426</v>
      </c>
      <c r="F8" s="31" t="s">
        <v>873</v>
      </c>
      <c r="G8" s="31" t="s">
        <v>419</v>
      </c>
    </row>
    <row r="9" spans="1:7" ht="15.75">
      <c r="A9" s="81">
        <v>1</v>
      </c>
      <c r="B9" s="107">
        <v>2</v>
      </c>
      <c r="C9" s="107">
        <v>3</v>
      </c>
      <c r="D9" s="81">
        <v>4</v>
      </c>
      <c r="E9" s="81">
        <v>5</v>
      </c>
      <c r="F9" s="31">
        <v>6</v>
      </c>
      <c r="G9" s="31">
        <v>7</v>
      </c>
    </row>
    <row r="10" spans="1:13" ht="71.25" customHeight="1">
      <c r="A10" s="70" t="s">
        <v>872</v>
      </c>
      <c r="B10" s="71" t="s">
        <v>23</v>
      </c>
      <c r="C10" s="71" t="s">
        <v>1</v>
      </c>
      <c r="D10" s="71" t="s">
        <v>3</v>
      </c>
      <c r="E10" s="71" t="s">
        <v>3</v>
      </c>
      <c r="F10" s="72">
        <f>F11+F49+F102+F163+F172+F181+F201+F219</f>
        <v>1402321131.2700002</v>
      </c>
      <c r="G10" s="72">
        <f>G11+G49+G102+G163+G172+G181+G201+G219</f>
        <v>774477425.65</v>
      </c>
      <c r="H10" s="80"/>
      <c r="I10" s="80">
        <v>1391759019.29</v>
      </c>
      <c r="J10" s="80">
        <v>776639625.65</v>
      </c>
      <c r="L10" s="80">
        <f>I10-F10</f>
        <v>-10562111.980000257</v>
      </c>
      <c r="M10" s="80">
        <f>J10-G10</f>
        <v>2162200</v>
      </c>
    </row>
    <row r="11" spans="1:13" ht="47.25" outlineLevel="1">
      <c r="A11" s="70" t="s">
        <v>636</v>
      </c>
      <c r="B11" s="71" t="s">
        <v>240</v>
      </c>
      <c r="C11" s="71" t="s">
        <v>1</v>
      </c>
      <c r="D11" s="71" t="s">
        <v>3</v>
      </c>
      <c r="E11" s="71" t="s">
        <v>3</v>
      </c>
      <c r="F11" s="72">
        <f>F12+F24+F29+F39+F45</f>
        <v>568582922.98</v>
      </c>
      <c r="G11" s="72">
        <f>G12+G24+G29+G39+G45</f>
        <v>353843199.59</v>
      </c>
      <c r="I11" s="80">
        <v>566989201.72</v>
      </c>
      <c r="J11" s="80">
        <v>354402840.74</v>
      </c>
      <c r="L11" s="80">
        <f aca="true" t="shared" si="0" ref="L11:L77">I11-F11</f>
        <v>-1593721.2599999905</v>
      </c>
      <c r="M11" s="80">
        <f aca="true" t="shared" si="1" ref="M11:M77">J11-G11</f>
        <v>559641.1500000358</v>
      </c>
    </row>
    <row r="12" spans="1:13" ht="126" customHeight="1" outlineLevel="2">
      <c r="A12" s="63" t="s">
        <v>958</v>
      </c>
      <c r="B12" s="64" t="s">
        <v>241</v>
      </c>
      <c r="C12" s="64" t="s">
        <v>1</v>
      </c>
      <c r="D12" s="64" t="s">
        <v>3</v>
      </c>
      <c r="E12" s="64" t="s">
        <v>3</v>
      </c>
      <c r="F12" s="65">
        <f>F13+F17+F20</f>
        <v>336116597.59999996</v>
      </c>
      <c r="G12" s="65">
        <f>G14+G19</f>
        <v>336093327.59</v>
      </c>
      <c r="I12" s="80">
        <v>336265219.91</v>
      </c>
      <c r="J12" s="80">
        <v>336234518.78</v>
      </c>
      <c r="L12" s="80">
        <f t="shared" si="0"/>
        <v>148622.310000062</v>
      </c>
      <c r="M12" s="80">
        <f t="shared" si="1"/>
        <v>141191.18999999762</v>
      </c>
    </row>
    <row r="13" spans="1:13" ht="126" outlineLevel="3">
      <c r="A13" s="63" t="s">
        <v>465</v>
      </c>
      <c r="B13" s="64" t="s">
        <v>242</v>
      </c>
      <c r="C13" s="64" t="s">
        <v>1</v>
      </c>
      <c r="D13" s="64" t="s">
        <v>3</v>
      </c>
      <c r="E13" s="64" t="s">
        <v>3</v>
      </c>
      <c r="F13" s="65">
        <f>F14</f>
        <v>347727.58999999997</v>
      </c>
      <c r="G13" s="65">
        <f>G14</f>
        <v>347727.58999999997</v>
      </c>
      <c r="I13" s="80">
        <v>488918.78</v>
      </c>
      <c r="J13" s="80">
        <v>488918.78</v>
      </c>
      <c r="L13" s="80">
        <f t="shared" si="0"/>
        <v>141191.19000000006</v>
      </c>
      <c r="M13" s="80">
        <f t="shared" si="1"/>
        <v>141191.19000000006</v>
      </c>
    </row>
    <row r="14" spans="1:13" ht="78.75" outlineLevel="4">
      <c r="A14" s="63" t="s">
        <v>692</v>
      </c>
      <c r="B14" s="64" t="s">
        <v>242</v>
      </c>
      <c r="C14" s="64" t="s">
        <v>70</v>
      </c>
      <c r="D14" s="64" t="s">
        <v>3</v>
      </c>
      <c r="E14" s="64" t="s">
        <v>3</v>
      </c>
      <c r="F14" s="65">
        <f>F15+F16</f>
        <v>347727.58999999997</v>
      </c>
      <c r="G14" s="65">
        <f>G15+G16</f>
        <v>347727.58999999997</v>
      </c>
      <c r="I14" s="80">
        <v>488918.78</v>
      </c>
      <c r="J14" s="80">
        <v>488918.78</v>
      </c>
      <c r="L14" s="80">
        <f t="shared" si="0"/>
        <v>141191.19000000006</v>
      </c>
      <c r="M14" s="80">
        <f t="shared" si="1"/>
        <v>141191.19000000006</v>
      </c>
    </row>
    <row r="15" spans="1:13" ht="37.5" customHeight="1" outlineLevel="5">
      <c r="A15" s="63" t="s">
        <v>676</v>
      </c>
      <c r="B15" s="64" t="s">
        <v>242</v>
      </c>
      <c r="C15" s="64" t="s">
        <v>70</v>
      </c>
      <c r="D15" s="64" t="s">
        <v>239</v>
      </c>
      <c r="E15" s="64" t="s">
        <v>2</v>
      </c>
      <c r="F15" s="65">
        <f>Приложение_6!F570</f>
        <v>203716</v>
      </c>
      <c r="G15" s="65">
        <f>F15</f>
        <v>203716</v>
      </c>
      <c r="I15" s="80">
        <v>488918.78</v>
      </c>
      <c r="J15" s="80">
        <v>488918.78</v>
      </c>
      <c r="L15" s="80">
        <f t="shared" si="0"/>
        <v>285202.78</v>
      </c>
      <c r="M15" s="80">
        <f t="shared" si="1"/>
        <v>285202.78</v>
      </c>
    </row>
    <row r="16" spans="1:13" ht="24" customHeight="1" outlineLevel="5">
      <c r="A16" s="63" t="s">
        <v>677</v>
      </c>
      <c r="B16" s="64" t="s">
        <v>242</v>
      </c>
      <c r="C16" s="64" t="s">
        <v>70</v>
      </c>
      <c r="D16" s="64" t="s">
        <v>239</v>
      </c>
      <c r="E16" s="64" t="s">
        <v>5</v>
      </c>
      <c r="F16" s="65">
        <f>Приложение_6!F609</f>
        <v>144011.59</v>
      </c>
      <c r="G16" s="65">
        <f>F16</f>
        <v>144011.59</v>
      </c>
      <c r="I16" s="80"/>
      <c r="J16" s="80"/>
      <c r="L16" s="80"/>
      <c r="M16" s="80"/>
    </row>
    <row r="17" spans="1:13" ht="126" outlineLevel="3">
      <c r="A17" s="63" t="s">
        <v>466</v>
      </c>
      <c r="B17" s="64" t="s">
        <v>243</v>
      </c>
      <c r="C17" s="64" t="s">
        <v>1</v>
      </c>
      <c r="D17" s="64" t="s">
        <v>3</v>
      </c>
      <c r="E17" s="64" t="s">
        <v>3</v>
      </c>
      <c r="F17" s="65">
        <f>F18</f>
        <v>335745600</v>
      </c>
      <c r="G17" s="65">
        <f>G18</f>
        <v>335745600</v>
      </c>
      <c r="I17" s="80">
        <v>335745600</v>
      </c>
      <c r="J17" s="80">
        <v>335745600</v>
      </c>
      <c r="L17" s="80">
        <f t="shared" si="0"/>
        <v>0</v>
      </c>
      <c r="M17" s="80">
        <f t="shared" si="1"/>
        <v>0</v>
      </c>
    </row>
    <row r="18" spans="1:13" ht="78.75" outlineLevel="4">
      <c r="A18" s="63" t="s">
        <v>692</v>
      </c>
      <c r="B18" s="64" t="s">
        <v>243</v>
      </c>
      <c r="C18" s="64" t="s">
        <v>70</v>
      </c>
      <c r="D18" s="64" t="s">
        <v>3</v>
      </c>
      <c r="E18" s="64" t="s">
        <v>3</v>
      </c>
      <c r="F18" s="65">
        <f>F19</f>
        <v>335745600</v>
      </c>
      <c r="G18" s="65">
        <f>G19</f>
        <v>335745600</v>
      </c>
      <c r="I18" s="80">
        <v>335745600</v>
      </c>
      <c r="J18" s="80">
        <v>335745600</v>
      </c>
      <c r="L18" s="80">
        <f t="shared" si="0"/>
        <v>0</v>
      </c>
      <c r="M18" s="80">
        <f t="shared" si="1"/>
        <v>0</v>
      </c>
    </row>
    <row r="19" spans="1:13" ht="24.75" customHeight="1" outlineLevel="5">
      <c r="A19" s="63" t="s">
        <v>676</v>
      </c>
      <c r="B19" s="64" t="s">
        <v>243</v>
      </c>
      <c r="C19" s="64" t="s">
        <v>70</v>
      </c>
      <c r="D19" s="64" t="s">
        <v>239</v>
      </c>
      <c r="E19" s="64" t="s">
        <v>2</v>
      </c>
      <c r="F19" s="65">
        <f>Приложение_6!F572</f>
        <v>335745600</v>
      </c>
      <c r="G19" s="65">
        <f>F19</f>
        <v>335745600</v>
      </c>
      <c r="I19" s="80">
        <v>335745600</v>
      </c>
      <c r="J19" s="80">
        <v>335745600</v>
      </c>
      <c r="L19" s="80">
        <f t="shared" si="0"/>
        <v>0</v>
      </c>
      <c r="M19" s="80">
        <f t="shared" si="1"/>
        <v>0</v>
      </c>
    </row>
    <row r="20" spans="1:13" ht="126" outlineLevel="3">
      <c r="A20" s="63" t="s">
        <v>465</v>
      </c>
      <c r="B20" s="64" t="s">
        <v>244</v>
      </c>
      <c r="C20" s="64" t="s">
        <v>1</v>
      </c>
      <c r="D20" s="64" t="s">
        <v>3</v>
      </c>
      <c r="E20" s="64" t="s">
        <v>3</v>
      </c>
      <c r="F20" s="65">
        <f>F21</f>
        <v>23270.010000000002</v>
      </c>
      <c r="G20" s="65"/>
      <c r="I20" s="80">
        <v>30701.13</v>
      </c>
      <c r="L20" s="80">
        <f t="shared" si="0"/>
        <v>7431.119999999999</v>
      </c>
      <c r="M20" s="80">
        <f t="shared" si="1"/>
        <v>0</v>
      </c>
    </row>
    <row r="21" spans="1:13" ht="78.75" outlineLevel="4">
      <c r="A21" s="63" t="s">
        <v>692</v>
      </c>
      <c r="B21" s="64" t="s">
        <v>244</v>
      </c>
      <c r="C21" s="64" t="s">
        <v>70</v>
      </c>
      <c r="D21" s="64" t="s">
        <v>3</v>
      </c>
      <c r="E21" s="64" t="s">
        <v>3</v>
      </c>
      <c r="F21" s="65">
        <f>F22+F23</f>
        <v>23270.010000000002</v>
      </c>
      <c r="G21" s="65"/>
      <c r="I21" s="80">
        <v>30701.13</v>
      </c>
      <c r="L21" s="80">
        <f t="shared" si="0"/>
        <v>7431.119999999999</v>
      </c>
      <c r="M21" s="80">
        <f t="shared" si="1"/>
        <v>0</v>
      </c>
    </row>
    <row r="22" spans="1:13" ht="15.75" outlineLevel="5">
      <c r="A22" s="63" t="s">
        <v>676</v>
      </c>
      <c r="B22" s="64" t="s">
        <v>244</v>
      </c>
      <c r="C22" s="64" t="s">
        <v>70</v>
      </c>
      <c r="D22" s="64" t="s">
        <v>239</v>
      </c>
      <c r="E22" s="64" t="s">
        <v>2</v>
      </c>
      <c r="F22" s="65">
        <f>Приложение_6!F574</f>
        <v>15350.52</v>
      </c>
      <c r="G22" s="65"/>
      <c r="I22" s="80">
        <v>30701.13</v>
      </c>
      <c r="L22" s="80">
        <f t="shared" si="0"/>
        <v>15350.61</v>
      </c>
      <c r="M22" s="80">
        <f t="shared" si="1"/>
        <v>0</v>
      </c>
    </row>
    <row r="23" spans="1:13" ht="15.75" outlineLevel="5">
      <c r="A23" s="63" t="s">
        <v>677</v>
      </c>
      <c r="B23" s="64" t="s">
        <v>244</v>
      </c>
      <c r="C23" s="64" t="s">
        <v>70</v>
      </c>
      <c r="D23" s="64" t="s">
        <v>239</v>
      </c>
      <c r="E23" s="64" t="s">
        <v>5</v>
      </c>
      <c r="F23" s="65">
        <f>Приложение_6!F611</f>
        <v>7919.49</v>
      </c>
      <c r="G23" s="65"/>
      <c r="I23" s="80"/>
      <c r="L23" s="80"/>
      <c r="M23" s="80"/>
    </row>
    <row r="24" spans="1:13" ht="110.25" outlineLevel="2">
      <c r="A24" s="63" t="s">
        <v>964</v>
      </c>
      <c r="B24" s="64" t="s">
        <v>245</v>
      </c>
      <c r="C24" s="64" t="s">
        <v>1</v>
      </c>
      <c r="D24" s="64" t="s">
        <v>3</v>
      </c>
      <c r="E24" s="64" t="s">
        <v>3</v>
      </c>
      <c r="F24" s="65">
        <f>F25</f>
        <v>206484445.94</v>
      </c>
      <c r="G24" s="65"/>
      <c r="I24" s="80">
        <v>204543626.85</v>
      </c>
      <c r="L24" s="80">
        <f t="shared" si="0"/>
        <v>-1940819.0900000036</v>
      </c>
      <c r="M24" s="80">
        <f t="shared" si="1"/>
        <v>0</v>
      </c>
    </row>
    <row r="25" spans="1:13" ht="126" outlineLevel="3">
      <c r="A25" s="63" t="s">
        <v>443</v>
      </c>
      <c r="B25" s="64" t="s">
        <v>246</v>
      </c>
      <c r="C25" s="64" t="s">
        <v>1</v>
      </c>
      <c r="D25" s="64" t="s">
        <v>3</v>
      </c>
      <c r="E25" s="64" t="s">
        <v>3</v>
      </c>
      <c r="F25" s="65">
        <f>F26</f>
        <v>206484445.94</v>
      </c>
      <c r="G25" s="65"/>
      <c r="I25" s="80">
        <v>204543626.85</v>
      </c>
      <c r="L25" s="80">
        <f t="shared" si="0"/>
        <v>-1940819.0900000036</v>
      </c>
      <c r="M25" s="80">
        <f t="shared" si="1"/>
        <v>0</v>
      </c>
    </row>
    <row r="26" spans="1:13" ht="78.75" outlineLevel="4">
      <c r="A26" s="63" t="s">
        <v>692</v>
      </c>
      <c r="B26" s="64" t="s">
        <v>246</v>
      </c>
      <c r="C26" s="64" t="s">
        <v>70</v>
      </c>
      <c r="D26" s="64" t="s">
        <v>3</v>
      </c>
      <c r="E26" s="64" t="s">
        <v>3</v>
      </c>
      <c r="F26" s="65">
        <f>F27+F28</f>
        <v>206484445.94</v>
      </c>
      <c r="G26" s="65"/>
      <c r="I26" s="80">
        <v>204543626.85</v>
      </c>
      <c r="L26" s="80">
        <f t="shared" si="0"/>
        <v>-1940819.0900000036</v>
      </c>
      <c r="M26" s="80">
        <f t="shared" si="1"/>
        <v>0</v>
      </c>
    </row>
    <row r="27" spans="1:13" ht="15.75" outlineLevel="5">
      <c r="A27" s="63" t="s">
        <v>676</v>
      </c>
      <c r="B27" s="64" t="s">
        <v>246</v>
      </c>
      <c r="C27" s="64" t="s">
        <v>70</v>
      </c>
      <c r="D27" s="64" t="s">
        <v>239</v>
      </c>
      <c r="E27" s="64" t="s">
        <v>2</v>
      </c>
      <c r="F27" s="65">
        <f>Приложение_6!F577</f>
        <v>203242823.92</v>
      </c>
      <c r="G27" s="65"/>
      <c r="I27" s="80">
        <v>204543626.85</v>
      </c>
      <c r="L27" s="80">
        <f t="shared" si="0"/>
        <v>1300802.9300000072</v>
      </c>
      <c r="M27" s="80">
        <f t="shared" si="1"/>
        <v>0</v>
      </c>
    </row>
    <row r="28" spans="1:13" ht="15.75" outlineLevel="5">
      <c r="A28" s="63" t="s">
        <v>677</v>
      </c>
      <c r="B28" s="64" t="s">
        <v>246</v>
      </c>
      <c r="C28" s="64" t="s">
        <v>70</v>
      </c>
      <c r="D28" s="64" t="s">
        <v>239</v>
      </c>
      <c r="E28" s="64" t="s">
        <v>5</v>
      </c>
      <c r="F28" s="65">
        <f>Приложение_6!F614</f>
        <v>3241622.02</v>
      </c>
      <c r="G28" s="65"/>
      <c r="I28" s="80"/>
      <c r="L28" s="80"/>
      <c r="M28" s="80"/>
    </row>
    <row r="29" spans="1:13" ht="31.5" outlineLevel="2">
      <c r="A29" s="63" t="s">
        <v>560</v>
      </c>
      <c r="B29" s="64" t="s">
        <v>247</v>
      </c>
      <c r="C29" s="64" t="s">
        <v>1</v>
      </c>
      <c r="D29" s="64" t="s">
        <v>3</v>
      </c>
      <c r="E29" s="64" t="s">
        <v>3</v>
      </c>
      <c r="F29" s="65">
        <f>F30+F33+F36</f>
        <v>8537479.440000001</v>
      </c>
      <c r="G29" s="65">
        <f>G35+G38</f>
        <v>305472.00000000006</v>
      </c>
      <c r="I29" s="80">
        <v>8735954.96</v>
      </c>
      <c r="J29" s="80">
        <v>723921.96</v>
      </c>
      <c r="L29" s="80">
        <f t="shared" si="0"/>
        <v>198475.51999999955</v>
      </c>
      <c r="M29" s="80">
        <f t="shared" si="1"/>
        <v>418449.9599999999</v>
      </c>
    </row>
    <row r="30" spans="1:13" ht="126" outlineLevel="3">
      <c r="A30" s="63" t="s">
        <v>432</v>
      </c>
      <c r="B30" s="64" t="s">
        <v>248</v>
      </c>
      <c r="C30" s="64" t="s">
        <v>1</v>
      </c>
      <c r="D30" s="64" t="s">
        <v>3</v>
      </c>
      <c r="E30" s="64" t="s">
        <v>3</v>
      </c>
      <c r="F30" s="65">
        <f>F31</f>
        <v>8232007.44</v>
      </c>
      <c r="G30" s="65"/>
      <c r="I30" s="80">
        <v>8012033</v>
      </c>
      <c r="L30" s="80">
        <f t="shared" si="0"/>
        <v>-219974.4400000004</v>
      </c>
      <c r="M30" s="80">
        <f t="shared" si="1"/>
        <v>0</v>
      </c>
    </row>
    <row r="31" spans="1:13" ht="78.75" outlineLevel="4">
      <c r="A31" s="63" t="s">
        <v>692</v>
      </c>
      <c r="B31" s="64" t="s">
        <v>248</v>
      </c>
      <c r="C31" s="64" t="s">
        <v>70</v>
      </c>
      <c r="D31" s="64" t="s">
        <v>3</v>
      </c>
      <c r="E31" s="64" t="s">
        <v>3</v>
      </c>
      <c r="F31" s="65">
        <f>F32</f>
        <v>8232007.44</v>
      </c>
      <c r="G31" s="65"/>
      <c r="I31" s="80">
        <v>8012033</v>
      </c>
      <c r="L31" s="80">
        <f t="shared" si="0"/>
        <v>-219974.4400000004</v>
      </c>
      <c r="M31" s="80">
        <f t="shared" si="1"/>
        <v>0</v>
      </c>
    </row>
    <row r="32" spans="1:13" ht="15.75" outlineLevel="5">
      <c r="A32" s="63" t="s">
        <v>676</v>
      </c>
      <c r="B32" s="64" t="s">
        <v>248</v>
      </c>
      <c r="C32" s="64" t="s">
        <v>70</v>
      </c>
      <c r="D32" s="64" t="s">
        <v>239</v>
      </c>
      <c r="E32" s="64" t="s">
        <v>2</v>
      </c>
      <c r="F32" s="65">
        <f>Приложение_6!F580</f>
        <v>8232007.44</v>
      </c>
      <c r="G32" s="65"/>
      <c r="I32" s="80">
        <v>8012033</v>
      </c>
      <c r="L32" s="80">
        <f t="shared" si="0"/>
        <v>-219974.4400000004</v>
      </c>
      <c r="M32" s="80">
        <f t="shared" si="1"/>
        <v>0</v>
      </c>
    </row>
    <row r="33" spans="1:13" ht="157.5" outlineLevel="3">
      <c r="A33" s="63" t="s">
        <v>473</v>
      </c>
      <c r="B33" s="64" t="s">
        <v>373</v>
      </c>
      <c r="C33" s="64" t="s">
        <v>1</v>
      </c>
      <c r="D33" s="64" t="s">
        <v>3</v>
      </c>
      <c r="E33" s="64" t="s">
        <v>3</v>
      </c>
      <c r="F33" s="65">
        <f>F34</f>
        <v>472</v>
      </c>
      <c r="G33" s="65">
        <f>G34</f>
        <v>472</v>
      </c>
      <c r="I33" s="80">
        <v>1887.92</v>
      </c>
      <c r="J33" s="80">
        <v>1887.92</v>
      </c>
      <c r="L33" s="80">
        <f t="shared" si="0"/>
        <v>1415.92</v>
      </c>
      <c r="M33" s="80">
        <f t="shared" si="1"/>
        <v>1415.92</v>
      </c>
    </row>
    <row r="34" spans="1:13" ht="78.75" outlineLevel="4">
      <c r="A34" s="63" t="s">
        <v>692</v>
      </c>
      <c r="B34" s="64" t="s">
        <v>373</v>
      </c>
      <c r="C34" s="64" t="s">
        <v>70</v>
      </c>
      <c r="D34" s="64" t="s">
        <v>3</v>
      </c>
      <c r="E34" s="64" t="s">
        <v>3</v>
      </c>
      <c r="F34" s="65">
        <f>F35</f>
        <v>472</v>
      </c>
      <c r="G34" s="65">
        <f>G35</f>
        <v>472</v>
      </c>
      <c r="I34" s="80">
        <v>1887.92</v>
      </c>
      <c r="J34" s="80">
        <v>1887.92</v>
      </c>
      <c r="L34" s="80">
        <f t="shared" si="0"/>
        <v>1415.92</v>
      </c>
      <c r="M34" s="80">
        <f t="shared" si="1"/>
        <v>1415.92</v>
      </c>
    </row>
    <row r="35" spans="1:13" ht="31.5" outlineLevel="5">
      <c r="A35" s="63" t="s">
        <v>683</v>
      </c>
      <c r="B35" s="64" t="s">
        <v>373</v>
      </c>
      <c r="C35" s="64" t="s">
        <v>70</v>
      </c>
      <c r="D35" s="64" t="s">
        <v>187</v>
      </c>
      <c r="E35" s="64" t="s">
        <v>14</v>
      </c>
      <c r="F35" s="65">
        <f>Приложение_6!F880</f>
        <v>472</v>
      </c>
      <c r="G35" s="65">
        <f>F35</f>
        <v>472</v>
      </c>
      <c r="I35" s="80">
        <v>1887.92</v>
      </c>
      <c r="J35" s="80">
        <v>1887.92</v>
      </c>
      <c r="L35" s="80">
        <f t="shared" si="0"/>
        <v>1415.92</v>
      </c>
      <c r="M35" s="80">
        <f t="shared" si="1"/>
        <v>1415.92</v>
      </c>
    </row>
    <row r="36" spans="1:13" ht="141.75" customHeight="1" outlineLevel="3">
      <c r="A36" s="63" t="s">
        <v>474</v>
      </c>
      <c r="B36" s="64" t="s">
        <v>374</v>
      </c>
      <c r="C36" s="64" t="s">
        <v>1</v>
      </c>
      <c r="D36" s="64" t="s">
        <v>3</v>
      </c>
      <c r="E36" s="64" t="s">
        <v>3</v>
      </c>
      <c r="F36" s="65">
        <f>F37</f>
        <v>305000.00000000006</v>
      </c>
      <c r="G36" s="65">
        <f>G37</f>
        <v>305000.00000000006</v>
      </c>
      <c r="I36" s="80">
        <v>722034.04</v>
      </c>
      <c r="J36" s="80">
        <v>722034.04</v>
      </c>
      <c r="L36" s="80">
        <f t="shared" si="0"/>
        <v>417034.04</v>
      </c>
      <c r="M36" s="80">
        <f t="shared" si="1"/>
        <v>417034.04</v>
      </c>
    </row>
    <row r="37" spans="1:13" ht="78.75" outlineLevel="4">
      <c r="A37" s="63" t="s">
        <v>692</v>
      </c>
      <c r="B37" s="64" t="s">
        <v>374</v>
      </c>
      <c r="C37" s="64" t="s">
        <v>70</v>
      </c>
      <c r="D37" s="64" t="s">
        <v>3</v>
      </c>
      <c r="E37" s="64" t="s">
        <v>3</v>
      </c>
      <c r="F37" s="65">
        <f>F38</f>
        <v>305000.00000000006</v>
      </c>
      <c r="G37" s="65">
        <f>G38</f>
        <v>305000.00000000006</v>
      </c>
      <c r="I37" s="80">
        <v>722034.04</v>
      </c>
      <c r="J37" s="80">
        <v>722034.04</v>
      </c>
      <c r="L37" s="80">
        <f t="shared" si="0"/>
        <v>417034.04</v>
      </c>
      <c r="M37" s="80">
        <f t="shared" si="1"/>
        <v>417034.04</v>
      </c>
    </row>
    <row r="38" spans="1:13" ht="31.5" outlineLevel="5">
      <c r="A38" s="63" t="s">
        <v>683</v>
      </c>
      <c r="B38" s="64" t="s">
        <v>374</v>
      </c>
      <c r="C38" s="64" t="s">
        <v>70</v>
      </c>
      <c r="D38" s="64" t="s">
        <v>187</v>
      </c>
      <c r="E38" s="64" t="s">
        <v>14</v>
      </c>
      <c r="F38" s="65">
        <f>Приложение_6!F882</f>
        <v>305000.00000000006</v>
      </c>
      <c r="G38" s="65">
        <f>F38</f>
        <v>305000.00000000006</v>
      </c>
      <c r="I38" s="80">
        <v>722034.04</v>
      </c>
      <c r="J38" s="80">
        <v>722034.04</v>
      </c>
      <c r="L38" s="80">
        <f t="shared" si="0"/>
        <v>417034.04</v>
      </c>
      <c r="M38" s="80">
        <f t="shared" si="1"/>
        <v>417034.04</v>
      </c>
    </row>
    <row r="39" spans="1:13" ht="141.75" outlineLevel="2">
      <c r="A39" s="63" t="s">
        <v>960</v>
      </c>
      <c r="B39" s="64" t="s">
        <v>388</v>
      </c>
      <c r="C39" s="64" t="s">
        <v>1</v>
      </c>
      <c r="D39" s="64" t="s">
        <v>3</v>
      </c>
      <c r="E39" s="64" t="s">
        <v>3</v>
      </c>
      <c r="F39" s="65">
        <f>F40</f>
        <v>425500</v>
      </c>
      <c r="G39" s="65">
        <f>G40</f>
        <v>425500</v>
      </c>
      <c r="I39" s="80">
        <v>425500</v>
      </c>
      <c r="J39" s="80">
        <v>425500</v>
      </c>
      <c r="L39" s="80">
        <f t="shared" si="0"/>
        <v>0</v>
      </c>
      <c r="M39" s="80">
        <f t="shared" si="1"/>
        <v>0</v>
      </c>
    </row>
    <row r="40" spans="1:13" ht="252" outlineLevel="3">
      <c r="A40" s="63" t="s">
        <v>479</v>
      </c>
      <c r="B40" s="64" t="s">
        <v>389</v>
      </c>
      <c r="C40" s="64" t="s">
        <v>1</v>
      </c>
      <c r="D40" s="64" t="s">
        <v>3</v>
      </c>
      <c r="E40" s="64" t="s">
        <v>3</v>
      </c>
      <c r="F40" s="65">
        <f>F41+F43</f>
        <v>425500</v>
      </c>
      <c r="G40" s="65">
        <f>G41+G43</f>
        <v>425500</v>
      </c>
      <c r="I40" s="80">
        <v>425500</v>
      </c>
      <c r="J40" s="80">
        <v>425500</v>
      </c>
      <c r="L40" s="80">
        <f t="shared" si="0"/>
        <v>0</v>
      </c>
      <c r="M40" s="80">
        <f t="shared" si="1"/>
        <v>0</v>
      </c>
    </row>
    <row r="41" spans="1:13" ht="63" outlineLevel="4">
      <c r="A41" s="63" t="s">
        <v>689</v>
      </c>
      <c r="B41" s="64" t="s">
        <v>389</v>
      </c>
      <c r="C41" s="64" t="s">
        <v>17</v>
      </c>
      <c r="D41" s="64" t="s">
        <v>3</v>
      </c>
      <c r="E41" s="64" t="s">
        <v>3</v>
      </c>
      <c r="F41" s="65">
        <f>F42</f>
        <v>170216.5</v>
      </c>
      <c r="G41" s="65">
        <f>G42</f>
        <v>170216.5</v>
      </c>
      <c r="I41" s="80">
        <v>170216.5</v>
      </c>
      <c r="J41" s="80">
        <v>170216.5</v>
      </c>
      <c r="L41" s="80">
        <f t="shared" si="0"/>
        <v>0</v>
      </c>
      <c r="M41" s="80">
        <f t="shared" si="1"/>
        <v>0</v>
      </c>
    </row>
    <row r="42" spans="1:13" ht="15.75" outlineLevel="5">
      <c r="A42" s="63" t="s">
        <v>684</v>
      </c>
      <c r="B42" s="64" t="s">
        <v>389</v>
      </c>
      <c r="C42" s="64" t="s">
        <v>17</v>
      </c>
      <c r="D42" s="64" t="s">
        <v>187</v>
      </c>
      <c r="E42" s="64" t="s">
        <v>22</v>
      </c>
      <c r="F42" s="65">
        <f>Приложение_6!F919</f>
        <v>170216.5</v>
      </c>
      <c r="G42" s="65">
        <f>F42</f>
        <v>170216.5</v>
      </c>
      <c r="I42" s="80">
        <v>170216.5</v>
      </c>
      <c r="J42" s="80">
        <v>170216.5</v>
      </c>
      <c r="L42" s="80">
        <f t="shared" si="0"/>
        <v>0</v>
      </c>
      <c r="M42" s="80">
        <f t="shared" si="1"/>
        <v>0</v>
      </c>
    </row>
    <row r="43" spans="1:13" ht="78.75" outlineLevel="4">
      <c r="A43" s="63" t="s">
        <v>692</v>
      </c>
      <c r="B43" s="64" t="s">
        <v>389</v>
      </c>
      <c r="C43" s="64" t="s">
        <v>70</v>
      </c>
      <c r="D43" s="64" t="s">
        <v>3</v>
      </c>
      <c r="E43" s="64" t="s">
        <v>3</v>
      </c>
      <c r="F43" s="65">
        <f>F44</f>
        <v>255283.5</v>
      </c>
      <c r="G43" s="65">
        <f>G44</f>
        <v>255283.5</v>
      </c>
      <c r="I43" s="80">
        <v>255283.5</v>
      </c>
      <c r="J43" s="80">
        <v>255283.5</v>
      </c>
      <c r="L43" s="80">
        <f t="shared" si="0"/>
        <v>0</v>
      </c>
      <c r="M43" s="80">
        <f t="shared" si="1"/>
        <v>0</v>
      </c>
    </row>
    <row r="44" spans="1:13" ht="15.75" outlineLevel="5">
      <c r="A44" s="63" t="s">
        <v>684</v>
      </c>
      <c r="B44" s="64" t="s">
        <v>389</v>
      </c>
      <c r="C44" s="64" t="s">
        <v>70</v>
      </c>
      <c r="D44" s="64" t="s">
        <v>187</v>
      </c>
      <c r="E44" s="64" t="s">
        <v>22</v>
      </c>
      <c r="F44" s="65">
        <f>Приложение_6!F920</f>
        <v>255283.5</v>
      </c>
      <c r="G44" s="65">
        <f>F44</f>
        <v>255283.5</v>
      </c>
      <c r="I44" s="80">
        <v>255283.5</v>
      </c>
      <c r="J44" s="80">
        <v>255283.5</v>
      </c>
      <c r="L44" s="80">
        <f t="shared" si="0"/>
        <v>0</v>
      </c>
      <c r="M44" s="80">
        <f t="shared" si="1"/>
        <v>0</v>
      </c>
    </row>
    <row r="45" spans="1:13" ht="110.25" outlineLevel="2">
      <c r="A45" s="63" t="s">
        <v>961</v>
      </c>
      <c r="B45" s="64" t="s">
        <v>390</v>
      </c>
      <c r="C45" s="64" t="s">
        <v>1</v>
      </c>
      <c r="D45" s="64" t="s">
        <v>3</v>
      </c>
      <c r="E45" s="64" t="s">
        <v>3</v>
      </c>
      <c r="F45" s="65">
        <f aca="true" t="shared" si="2" ref="F45:G47">F46</f>
        <v>17018900</v>
      </c>
      <c r="G45" s="65">
        <f t="shared" si="2"/>
        <v>17018900</v>
      </c>
      <c r="I45" s="80">
        <v>17018900</v>
      </c>
      <c r="J45" s="80">
        <v>17018900</v>
      </c>
      <c r="L45" s="80">
        <f t="shared" si="0"/>
        <v>0</v>
      </c>
      <c r="M45" s="80">
        <f t="shared" si="1"/>
        <v>0</v>
      </c>
    </row>
    <row r="46" spans="1:13" ht="141.75" outlineLevel="3">
      <c r="A46" s="63" t="s">
        <v>480</v>
      </c>
      <c r="B46" s="64" t="s">
        <v>391</v>
      </c>
      <c r="C46" s="64" t="s">
        <v>1</v>
      </c>
      <c r="D46" s="64" t="s">
        <v>3</v>
      </c>
      <c r="E46" s="64" t="s">
        <v>3</v>
      </c>
      <c r="F46" s="65">
        <f t="shared" si="2"/>
        <v>17018900</v>
      </c>
      <c r="G46" s="65">
        <f t="shared" si="2"/>
        <v>17018900</v>
      </c>
      <c r="I46" s="80">
        <v>17018900</v>
      </c>
      <c r="J46" s="80">
        <v>17018900</v>
      </c>
      <c r="L46" s="80">
        <f t="shared" si="0"/>
        <v>0</v>
      </c>
      <c r="M46" s="80">
        <f t="shared" si="1"/>
        <v>0</v>
      </c>
    </row>
    <row r="47" spans="1:13" ht="31.5" outlineLevel="4">
      <c r="A47" s="63" t="s">
        <v>690</v>
      </c>
      <c r="B47" s="64" t="s">
        <v>391</v>
      </c>
      <c r="C47" s="64" t="s">
        <v>47</v>
      </c>
      <c r="D47" s="64" t="s">
        <v>3</v>
      </c>
      <c r="E47" s="64" t="s">
        <v>3</v>
      </c>
      <c r="F47" s="65">
        <f t="shared" si="2"/>
        <v>17018900</v>
      </c>
      <c r="G47" s="65">
        <f t="shared" si="2"/>
        <v>17018900</v>
      </c>
      <c r="I47" s="80">
        <v>17018900</v>
      </c>
      <c r="J47" s="80">
        <v>17018900</v>
      </c>
      <c r="L47" s="80">
        <f t="shared" si="0"/>
        <v>0</v>
      </c>
      <c r="M47" s="80">
        <f t="shared" si="1"/>
        <v>0</v>
      </c>
    </row>
    <row r="48" spans="1:13" ht="15.75" outlineLevel="5">
      <c r="A48" s="63" t="s">
        <v>684</v>
      </c>
      <c r="B48" s="64" t="s">
        <v>391</v>
      </c>
      <c r="C48" s="64" t="s">
        <v>47</v>
      </c>
      <c r="D48" s="64" t="s">
        <v>187</v>
      </c>
      <c r="E48" s="64" t="s">
        <v>22</v>
      </c>
      <c r="F48" s="65">
        <f>Приложение_6!F923</f>
        <v>17018900</v>
      </c>
      <c r="G48" s="65">
        <f>F48</f>
        <v>17018900</v>
      </c>
      <c r="I48" s="80">
        <v>17018900</v>
      </c>
      <c r="J48" s="80">
        <v>17018900</v>
      </c>
      <c r="L48" s="80">
        <f t="shared" si="0"/>
        <v>0</v>
      </c>
      <c r="M48" s="80">
        <f t="shared" si="1"/>
        <v>0</v>
      </c>
    </row>
    <row r="49" spans="1:13" ht="110.25" outlineLevel="1">
      <c r="A49" s="70" t="s">
        <v>638</v>
      </c>
      <c r="B49" s="71" t="s">
        <v>256</v>
      </c>
      <c r="C49" s="71" t="s">
        <v>1</v>
      </c>
      <c r="D49" s="71" t="s">
        <v>3</v>
      </c>
      <c r="E49" s="71" t="s">
        <v>3</v>
      </c>
      <c r="F49" s="72">
        <f>F50+F60+F70+F74+F78+F88+F98</f>
        <v>672389289.2299999</v>
      </c>
      <c r="G49" s="72">
        <f>G50+G60+G70+G74+G78+G88+G98</f>
        <v>359127412.33</v>
      </c>
      <c r="I49" s="80">
        <v>676606760.18</v>
      </c>
      <c r="J49" s="80">
        <v>360729971.18</v>
      </c>
      <c r="L49" s="80">
        <f t="shared" si="0"/>
        <v>4217470.950000048</v>
      </c>
      <c r="M49" s="80">
        <f t="shared" si="1"/>
        <v>1602558.8500000238</v>
      </c>
    </row>
    <row r="50" spans="1:13" ht="110.25" customHeight="1" outlineLevel="2">
      <c r="A50" s="63" t="s">
        <v>564</v>
      </c>
      <c r="B50" s="64" t="s">
        <v>257</v>
      </c>
      <c r="C50" s="64" t="s">
        <v>1</v>
      </c>
      <c r="D50" s="64" t="s">
        <v>3</v>
      </c>
      <c r="E50" s="64" t="s">
        <v>3</v>
      </c>
      <c r="F50" s="65">
        <f>F51+F54+F57</f>
        <v>138171741.06000003</v>
      </c>
      <c r="G50" s="65">
        <f>G51+G54+G57</f>
        <v>138159615.44000003</v>
      </c>
      <c r="I50" s="80">
        <v>140333941.06</v>
      </c>
      <c r="J50" s="80">
        <v>140321815.44</v>
      </c>
      <c r="L50" s="80">
        <f t="shared" si="0"/>
        <v>2162199.99999997</v>
      </c>
      <c r="M50" s="80">
        <f t="shared" si="1"/>
        <v>2162199.99999997</v>
      </c>
    </row>
    <row r="51" spans="1:13" ht="126" outlineLevel="3">
      <c r="A51" s="63" t="s">
        <v>465</v>
      </c>
      <c r="B51" s="64" t="s">
        <v>258</v>
      </c>
      <c r="C51" s="64" t="s">
        <v>1</v>
      </c>
      <c r="D51" s="64" t="s">
        <v>3</v>
      </c>
      <c r="E51" s="64" t="s">
        <v>3</v>
      </c>
      <c r="F51" s="65">
        <f>F52</f>
        <v>230386.86</v>
      </c>
      <c r="G51" s="65">
        <f>G52</f>
        <v>230386.86</v>
      </c>
      <c r="I51" s="80">
        <v>230386.86</v>
      </c>
      <c r="J51" s="80">
        <v>230386.86</v>
      </c>
      <c r="L51" s="80">
        <f t="shared" si="0"/>
        <v>0</v>
      </c>
      <c r="M51" s="80">
        <f t="shared" si="1"/>
        <v>0</v>
      </c>
    </row>
    <row r="52" spans="1:13" ht="78.75" outlineLevel="4">
      <c r="A52" s="63" t="s">
        <v>692</v>
      </c>
      <c r="B52" s="64" t="s">
        <v>258</v>
      </c>
      <c r="C52" s="64" t="s">
        <v>70</v>
      </c>
      <c r="D52" s="64" t="s">
        <v>3</v>
      </c>
      <c r="E52" s="64" t="s">
        <v>3</v>
      </c>
      <c r="F52" s="65">
        <f>F53</f>
        <v>230386.86</v>
      </c>
      <c r="G52" s="65">
        <f>G53</f>
        <v>230386.86</v>
      </c>
      <c r="I52" s="80">
        <v>230386.86</v>
      </c>
      <c r="J52" s="80">
        <v>230386.86</v>
      </c>
      <c r="L52" s="80">
        <f t="shared" si="0"/>
        <v>0</v>
      </c>
      <c r="M52" s="80">
        <f t="shared" si="1"/>
        <v>0</v>
      </c>
    </row>
    <row r="53" spans="1:13" ht="15.75" outlineLevel="5">
      <c r="A53" s="63" t="s">
        <v>677</v>
      </c>
      <c r="B53" s="64" t="s">
        <v>258</v>
      </c>
      <c r="C53" s="64" t="s">
        <v>70</v>
      </c>
      <c r="D53" s="64" t="s">
        <v>239</v>
      </c>
      <c r="E53" s="64" t="s">
        <v>5</v>
      </c>
      <c r="F53" s="65">
        <f>Приложение_6!F618</f>
        <v>230386.86</v>
      </c>
      <c r="G53" s="65">
        <f>F53</f>
        <v>230386.86</v>
      </c>
      <c r="I53" s="80">
        <v>230386.86</v>
      </c>
      <c r="J53" s="80">
        <v>230386.86</v>
      </c>
      <c r="L53" s="80">
        <f t="shared" si="0"/>
        <v>0</v>
      </c>
      <c r="M53" s="80">
        <f t="shared" si="1"/>
        <v>0</v>
      </c>
    </row>
    <row r="54" spans="1:13" ht="110.25" outlineLevel="3">
      <c r="A54" s="63" t="s">
        <v>468</v>
      </c>
      <c r="B54" s="64" t="s">
        <v>259</v>
      </c>
      <c r="C54" s="64" t="s">
        <v>1</v>
      </c>
      <c r="D54" s="64" t="s">
        <v>3</v>
      </c>
      <c r="E54" s="64" t="s">
        <v>3</v>
      </c>
      <c r="F54" s="65">
        <f>F55</f>
        <v>137929228.58</v>
      </c>
      <c r="G54" s="65">
        <f>G55</f>
        <v>137929228.58</v>
      </c>
      <c r="I54" s="80">
        <v>140091428.58</v>
      </c>
      <c r="J54" s="80">
        <v>140091428.58</v>
      </c>
      <c r="L54" s="80">
        <f t="shared" si="0"/>
        <v>2162200</v>
      </c>
      <c r="M54" s="80">
        <f t="shared" si="1"/>
        <v>2162200</v>
      </c>
    </row>
    <row r="55" spans="1:13" ht="78.75" outlineLevel="4">
      <c r="A55" s="63" t="s">
        <v>692</v>
      </c>
      <c r="B55" s="64" t="s">
        <v>259</v>
      </c>
      <c r="C55" s="64" t="s">
        <v>70</v>
      </c>
      <c r="D55" s="64" t="s">
        <v>3</v>
      </c>
      <c r="E55" s="64" t="s">
        <v>3</v>
      </c>
      <c r="F55" s="65">
        <f>F56</f>
        <v>137929228.58</v>
      </c>
      <c r="G55" s="65">
        <f>G56</f>
        <v>137929228.58</v>
      </c>
      <c r="I55" s="80">
        <v>140091428.58</v>
      </c>
      <c r="J55" s="80">
        <v>140091428.58</v>
      </c>
      <c r="L55" s="80">
        <f t="shared" si="0"/>
        <v>2162200</v>
      </c>
      <c r="M55" s="80">
        <f t="shared" si="1"/>
        <v>2162200</v>
      </c>
    </row>
    <row r="56" spans="1:13" ht="15.75" outlineLevel="5">
      <c r="A56" s="63" t="s">
        <v>677</v>
      </c>
      <c r="B56" s="64" t="s">
        <v>259</v>
      </c>
      <c r="C56" s="64" t="s">
        <v>70</v>
      </c>
      <c r="D56" s="64" t="s">
        <v>239</v>
      </c>
      <c r="E56" s="64" t="s">
        <v>5</v>
      </c>
      <c r="F56" s="65">
        <f>Приложение_6!F620</f>
        <v>137929228.58</v>
      </c>
      <c r="G56" s="65">
        <f>F56</f>
        <v>137929228.58</v>
      </c>
      <c r="I56" s="80">
        <v>140091428.58</v>
      </c>
      <c r="J56" s="80">
        <v>140091428.58</v>
      </c>
      <c r="L56" s="80">
        <f t="shared" si="0"/>
        <v>2162200</v>
      </c>
      <c r="M56" s="80">
        <f t="shared" si="1"/>
        <v>2162200</v>
      </c>
    </row>
    <row r="57" spans="1:13" ht="126" outlineLevel="3">
      <c r="A57" s="63" t="s">
        <v>465</v>
      </c>
      <c r="B57" s="64" t="s">
        <v>260</v>
      </c>
      <c r="C57" s="64" t="s">
        <v>1</v>
      </c>
      <c r="D57" s="64" t="s">
        <v>3</v>
      </c>
      <c r="E57" s="64" t="s">
        <v>3</v>
      </c>
      <c r="F57" s="65">
        <f>F58</f>
        <v>12125.62</v>
      </c>
      <c r="G57" s="65"/>
      <c r="I57" s="80">
        <v>12125.62</v>
      </c>
      <c r="L57" s="80">
        <f t="shared" si="0"/>
        <v>0</v>
      </c>
      <c r="M57" s="80">
        <f t="shared" si="1"/>
        <v>0</v>
      </c>
    </row>
    <row r="58" spans="1:13" ht="78.75" outlineLevel="4">
      <c r="A58" s="63" t="s">
        <v>692</v>
      </c>
      <c r="B58" s="64" t="s">
        <v>260</v>
      </c>
      <c r="C58" s="64" t="s">
        <v>70</v>
      </c>
      <c r="D58" s="64" t="s">
        <v>3</v>
      </c>
      <c r="E58" s="64" t="s">
        <v>3</v>
      </c>
      <c r="F58" s="65">
        <f>F59</f>
        <v>12125.62</v>
      </c>
      <c r="G58" s="65"/>
      <c r="I58" s="80">
        <v>12125.62</v>
      </c>
      <c r="L58" s="80">
        <f t="shared" si="0"/>
        <v>0</v>
      </c>
      <c r="M58" s="80">
        <f t="shared" si="1"/>
        <v>0</v>
      </c>
    </row>
    <row r="59" spans="1:13" ht="15.75" outlineLevel="5">
      <c r="A59" s="63" t="s">
        <v>677</v>
      </c>
      <c r="B59" s="64" t="s">
        <v>260</v>
      </c>
      <c r="C59" s="64" t="s">
        <v>70</v>
      </c>
      <c r="D59" s="64" t="s">
        <v>239</v>
      </c>
      <c r="E59" s="64" t="s">
        <v>5</v>
      </c>
      <c r="F59" s="65">
        <f>Приложение_6!F622</f>
        <v>12125.62</v>
      </c>
      <c r="G59" s="65"/>
      <c r="I59" s="80">
        <v>12125.62</v>
      </c>
      <c r="L59" s="80">
        <f t="shared" si="0"/>
        <v>0</v>
      </c>
      <c r="M59" s="80">
        <f t="shared" si="1"/>
        <v>0</v>
      </c>
    </row>
    <row r="60" spans="1:13" ht="110.25" customHeight="1" outlineLevel="2">
      <c r="A60" s="63" t="s">
        <v>565</v>
      </c>
      <c r="B60" s="64" t="s">
        <v>261</v>
      </c>
      <c r="C60" s="64" t="s">
        <v>1</v>
      </c>
      <c r="D60" s="64" t="s">
        <v>3</v>
      </c>
      <c r="E60" s="64" t="s">
        <v>3</v>
      </c>
      <c r="F60" s="65">
        <f>F61+F64+F67</f>
        <v>178529211.02</v>
      </c>
      <c r="G60" s="65">
        <f>G63+G66</f>
        <v>178515760.55</v>
      </c>
      <c r="I60" s="80">
        <v>178529211.02</v>
      </c>
      <c r="J60" s="80">
        <v>178515760.55</v>
      </c>
      <c r="L60" s="80">
        <f t="shared" si="0"/>
        <v>0</v>
      </c>
      <c r="M60" s="80">
        <f t="shared" si="1"/>
        <v>0</v>
      </c>
    </row>
    <row r="61" spans="1:13" ht="126" outlineLevel="3">
      <c r="A61" s="63" t="s">
        <v>465</v>
      </c>
      <c r="B61" s="64" t="s">
        <v>262</v>
      </c>
      <c r="C61" s="64" t="s">
        <v>1</v>
      </c>
      <c r="D61" s="64" t="s">
        <v>3</v>
      </c>
      <c r="E61" s="64" t="s">
        <v>3</v>
      </c>
      <c r="F61" s="65">
        <f>F62</f>
        <v>255558.84</v>
      </c>
      <c r="G61" s="65">
        <f>G62</f>
        <v>255558.84</v>
      </c>
      <c r="I61" s="80">
        <v>255558.84</v>
      </c>
      <c r="J61" s="80">
        <v>255558.84</v>
      </c>
      <c r="L61" s="80">
        <f t="shared" si="0"/>
        <v>0</v>
      </c>
      <c r="M61" s="80">
        <f t="shared" si="1"/>
        <v>0</v>
      </c>
    </row>
    <row r="62" spans="1:13" ht="78.75" outlineLevel="4">
      <c r="A62" s="63" t="s">
        <v>692</v>
      </c>
      <c r="B62" s="64" t="s">
        <v>262</v>
      </c>
      <c r="C62" s="64" t="s">
        <v>70</v>
      </c>
      <c r="D62" s="64" t="s">
        <v>3</v>
      </c>
      <c r="E62" s="64" t="s">
        <v>3</v>
      </c>
      <c r="F62" s="65">
        <f>F63</f>
        <v>255558.84</v>
      </c>
      <c r="G62" s="65">
        <f>G63</f>
        <v>255558.84</v>
      </c>
      <c r="I62" s="80">
        <v>255558.84</v>
      </c>
      <c r="J62" s="80">
        <v>255558.84</v>
      </c>
      <c r="L62" s="80">
        <f t="shared" si="0"/>
        <v>0</v>
      </c>
      <c r="M62" s="80">
        <f t="shared" si="1"/>
        <v>0</v>
      </c>
    </row>
    <row r="63" spans="1:13" ht="15.75" outlineLevel="5">
      <c r="A63" s="63" t="s">
        <v>677</v>
      </c>
      <c r="B63" s="64" t="s">
        <v>262</v>
      </c>
      <c r="C63" s="64" t="s">
        <v>70</v>
      </c>
      <c r="D63" s="64" t="s">
        <v>239</v>
      </c>
      <c r="E63" s="64" t="s">
        <v>5</v>
      </c>
      <c r="F63" s="65">
        <f>Приложение_6!F625</f>
        <v>255558.84</v>
      </c>
      <c r="G63" s="65">
        <f>F63</f>
        <v>255558.84</v>
      </c>
      <c r="I63" s="80">
        <v>255558.84</v>
      </c>
      <c r="J63" s="80">
        <v>255558.84</v>
      </c>
      <c r="L63" s="80">
        <f t="shared" si="0"/>
        <v>0</v>
      </c>
      <c r="M63" s="80">
        <f t="shared" si="1"/>
        <v>0</v>
      </c>
    </row>
    <row r="64" spans="1:13" ht="110.25" outlineLevel="3">
      <c r="A64" s="63" t="s">
        <v>468</v>
      </c>
      <c r="B64" s="64" t="s">
        <v>263</v>
      </c>
      <c r="C64" s="64" t="s">
        <v>1</v>
      </c>
      <c r="D64" s="64" t="s">
        <v>3</v>
      </c>
      <c r="E64" s="64" t="s">
        <v>3</v>
      </c>
      <c r="F64" s="65">
        <f>F65</f>
        <v>178260201.71</v>
      </c>
      <c r="G64" s="65">
        <f>G65</f>
        <v>178260201.71</v>
      </c>
      <c r="I64" s="80">
        <v>178260201.71</v>
      </c>
      <c r="J64" s="80">
        <v>178260201.71</v>
      </c>
      <c r="L64" s="80">
        <f t="shared" si="0"/>
        <v>0</v>
      </c>
      <c r="M64" s="80">
        <f t="shared" si="1"/>
        <v>0</v>
      </c>
    </row>
    <row r="65" spans="1:13" ht="78.75" outlineLevel="4">
      <c r="A65" s="63" t="s">
        <v>692</v>
      </c>
      <c r="B65" s="64" t="s">
        <v>263</v>
      </c>
      <c r="C65" s="64" t="s">
        <v>70</v>
      </c>
      <c r="D65" s="64" t="s">
        <v>3</v>
      </c>
      <c r="E65" s="64" t="s">
        <v>3</v>
      </c>
      <c r="F65" s="65">
        <f>F66</f>
        <v>178260201.71</v>
      </c>
      <c r="G65" s="65">
        <f>G66</f>
        <v>178260201.71</v>
      </c>
      <c r="I65" s="80">
        <v>178260201.71</v>
      </c>
      <c r="J65" s="80">
        <v>178260201.71</v>
      </c>
      <c r="L65" s="80">
        <f t="shared" si="0"/>
        <v>0</v>
      </c>
      <c r="M65" s="80">
        <f t="shared" si="1"/>
        <v>0</v>
      </c>
    </row>
    <row r="66" spans="1:13" ht="15.75" outlineLevel="5">
      <c r="A66" s="63" t="s">
        <v>677</v>
      </c>
      <c r="B66" s="64" t="s">
        <v>263</v>
      </c>
      <c r="C66" s="64" t="s">
        <v>70</v>
      </c>
      <c r="D66" s="64" t="s">
        <v>239</v>
      </c>
      <c r="E66" s="64" t="s">
        <v>5</v>
      </c>
      <c r="F66" s="65">
        <f>Приложение_6!F627</f>
        <v>178260201.71</v>
      </c>
      <c r="G66" s="65">
        <f>F66</f>
        <v>178260201.71</v>
      </c>
      <c r="I66" s="80">
        <v>178260201.71</v>
      </c>
      <c r="J66" s="80">
        <v>178260201.71</v>
      </c>
      <c r="L66" s="80">
        <f t="shared" si="0"/>
        <v>0</v>
      </c>
      <c r="M66" s="80">
        <f t="shared" si="1"/>
        <v>0</v>
      </c>
    </row>
    <row r="67" spans="1:13" ht="126" outlineLevel="3">
      <c r="A67" s="63" t="s">
        <v>465</v>
      </c>
      <c r="B67" s="64" t="s">
        <v>264</v>
      </c>
      <c r="C67" s="64" t="s">
        <v>1</v>
      </c>
      <c r="D67" s="64" t="s">
        <v>3</v>
      </c>
      <c r="E67" s="64" t="s">
        <v>3</v>
      </c>
      <c r="F67" s="65">
        <f>F68</f>
        <v>13450.47</v>
      </c>
      <c r="G67" s="65"/>
      <c r="I67" s="80">
        <v>13450.47</v>
      </c>
      <c r="L67" s="80">
        <f t="shared" si="0"/>
        <v>0</v>
      </c>
      <c r="M67" s="80">
        <f t="shared" si="1"/>
        <v>0</v>
      </c>
    </row>
    <row r="68" spans="1:13" ht="78.75" outlineLevel="4">
      <c r="A68" s="63" t="s">
        <v>692</v>
      </c>
      <c r="B68" s="64" t="s">
        <v>264</v>
      </c>
      <c r="C68" s="64" t="s">
        <v>70</v>
      </c>
      <c r="D68" s="64" t="s">
        <v>3</v>
      </c>
      <c r="E68" s="64" t="s">
        <v>3</v>
      </c>
      <c r="F68" s="65">
        <f>F69</f>
        <v>13450.47</v>
      </c>
      <c r="G68" s="65"/>
      <c r="I68" s="80">
        <v>13450.47</v>
      </c>
      <c r="L68" s="80">
        <f t="shared" si="0"/>
        <v>0</v>
      </c>
      <c r="M68" s="80">
        <f t="shared" si="1"/>
        <v>0</v>
      </c>
    </row>
    <row r="69" spans="1:13" ht="15.75" outlineLevel="5">
      <c r="A69" s="63" t="s">
        <v>677</v>
      </c>
      <c r="B69" s="64" t="s">
        <v>264</v>
      </c>
      <c r="C69" s="64" t="s">
        <v>70</v>
      </c>
      <c r="D69" s="64" t="s">
        <v>239</v>
      </c>
      <c r="E69" s="64" t="s">
        <v>5</v>
      </c>
      <c r="F69" s="65">
        <f>Приложение_6!F629</f>
        <v>13450.47</v>
      </c>
      <c r="G69" s="65"/>
      <c r="I69" s="80">
        <v>13450.47</v>
      </c>
      <c r="L69" s="80">
        <f t="shared" si="0"/>
        <v>0</v>
      </c>
      <c r="M69" s="80">
        <f t="shared" si="1"/>
        <v>0</v>
      </c>
    </row>
    <row r="70" spans="1:13" ht="110.25" customHeight="1" outlineLevel="2">
      <c r="A70" s="63" t="s">
        <v>566</v>
      </c>
      <c r="B70" s="64" t="s">
        <v>265</v>
      </c>
      <c r="C70" s="64" t="s">
        <v>1</v>
      </c>
      <c r="D70" s="64" t="s">
        <v>3</v>
      </c>
      <c r="E70" s="64" t="s">
        <v>3</v>
      </c>
      <c r="F70" s="65">
        <f aca="true" t="shared" si="3" ref="F70:G72">F71</f>
        <v>34687169.71</v>
      </c>
      <c r="G70" s="65">
        <f t="shared" si="3"/>
        <v>34687169.71</v>
      </c>
      <c r="I70" s="80">
        <v>34687169.71</v>
      </c>
      <c r="J70" s="80">
        <v>34687169.71</v>
      </c>
      <c r="L70" s="80">
        <f t="shared" si="0"/>
        <v>0</v>
      </c>
      <c r="M70" s="80">
        <f t="shared" si="1"/>
        <v>0</v>
      </c>
    </row>
    <row r="71" spans="1:13" ht="110.25" outlineLevel="3">
      <c r="A71" s="63" t="s">
        <v>468</v>
      </c>
      <c r="B71" s="64" t="s">
        <v>266</v>
      </c>
      <c r="C71" s="64" t="s">
        <v>1</v>
      </c>
      <c r="D71" s="64" t="s">
        <v>3</v>
      </c>
      <c r="E71" s="64" t="s">
        <v>3</v>
      </c>
      <c r="F71" s="65">
        <f t="shared" si="3"/>
        <v>34687169.71</v>
      </c>
      <c r="G71" s="65">
        <f t="shared" si="3"/>
        <v>34687169.71</v>
      </c>
      <c r="I71" s="80">
        <v>34687169.71</v>
      </c>
      <c r="J71" s="80">
        <v>34687169.71</v>
      </c>
      <c r="L71" s="80">
        <f t="shared" si="0"/>
        <v>0</v>
      </c>
      <c r="M71" s="80">
        <f t="shared" si="1"/>
        <v>0</v>
      </c>
    </row>
    <row r="72" spans="1:13" ht="78.75" outlineLevel="4">
      <c r="A72" s="63" t="s">
        <v>692</v>
      </c>
      <c r="B72" s="64" t="s">
        <v>266</v>
      </c>
      <c r="C72" s="64" t="s">
        <v>70</v>
      </c>
      <c r="D72" s="64" t="s">
        <v>3</v>
      </c>
      <c r="E72" s="64" t="s">
        <v>3</v>
      </c>
      <c r="F72" s="65">
        <f t="shared" si="3"/>
        <v>34687169.71</v>
      </c>
      <c r="G72" s="65">
        <f t="shared" si="3"/>
        <v>34687169.71</v>
      </c>
      <c r="I72" s="80">
        <v>34687169.71</v>
      </c>
      <c r="J72" s="80">
        <v>34687169.71</v>
      </c>
      <c r="L72" s="80">
        <f t="shared" si="0"/>
        <v>0</v>
      </c>
      <c r="M72" s="80">
        <f t="shared" si="1"/>
        <v>0</v>
      </c>
    </row>
    <row r="73" spans="1:13" ht="15.75" outlineLevel="5">
      <c r="A73" s="63" t="s">
        <v>677</v>
      </c>
      <c r="B73" s="64" t="s">
        <v>266</v>
      </c>
      <c r="C73" s="64" t="s">
        <v>70</v>
      </c>
      <c r="D73" s="64" t="s">
        <v>239</v>
      </c>
      <c r="E73" s="64" t="s">
        <v>5</v>
      </c>
      <c r="F73" s="65">
        <f>Приложение_6!F632</f>
        <v>34687169.71</v>
      </c>
      <c r="G73" s="65">
        <f>F73</f>
        <v>34687169.71</v>
      </c>
      <c r="I73" s="80">
        <v>34687169.71</v>
      </c>
      <c r="J73" s="80">
        <v>34687169.71</v>
      </c>
      <c r="L73" s="80">
        <f t="shared" si="0"/>
        <v>0</v>
      </c>
      <c r="M73" s="80">
        <f t="shared" si="1"/>
        <v>0</v>
      </c>
    </row>
    <row r="74" spans="1:13" ht="157.5" outlineLevel="2">
      <c r="A74" s="63" t="s">
        <v>567</v>
      </c>
      <c r="B74" s="64" t="s">
        <v>267</v>
      </c>
      <c r="C74" s="64" t="s">
        <v>1</v>
      </c>
      <c r="D74" s="64" t="s">
        <v>3</v>
      </c>
      <c r="E74" s="64" t="s">
        <v>3</v>
      </c>
      <c r="F74" s="65">
        <f>F75</f>
        <v>103908566.72</v>
      </c>
      <c r="G74" s="65"/>
      <c r="I74" s="80">
        <v>101563041.91</v>
      </c>
      <c r="L74" s="80">
        <f t="shared" si="0"/>
        <v>-2345524.8100000024</v>
      </c>
      <c r="M74" s="80">
        <f t="shared" si="1"/>
        <v>0</v>
      </c>
    </row>
    <row r="75" spans="1:13" ht="126" outlineLevel="3">
      <c r="A75" s="63" t="s">
        <v>443</v>
      </c>
      <c r="B75" s="64" t="s">
        <v>268</v>
      </c>
      <c r="C75" s="64" t="s">
        <v>1</v>
      </c>
      <c r="D75" s="64" t="s">
        <v>3</v>
      </c>
      <c r="E75" s="64" t="s">
        <v>3</v>
      </c>
      <c r="F75" s="65">
        <f>F76</f>
        <v>103908566.72</v>
      </c>
      <c r="G75" s="65"/>
      <c r="I75" s="80">
        <v>101563041.91</v>
      </c>
      <c r="L75" s="80">
        <f t="shared" si="0"/>
        <v>-2345524.8100000024</v>
      </c>
      <c r="M75" s="80">
        <f t="shared" si="1"/>
        <v>0</v>
      </c>
    </row>
    <row r="76" spans="1:13" ht="78.75" outlineLevel="4">
      <c r="A76" s="63" t="s">
        <v>692</v>
      </c>
      <c r="B76" s="64" t="s">
        <v>268</v>
      </c>
      <c r="C76" s="64" t="s">
        <v>70</v>
      </c>
      <c r="D76" s="64" t="s">
        <v>3</v>
      </c>
      <c r="E76" s="64" t="s">
        <v>3</v>
      </c>
      <c r="F76" s="65">
        <f>F77</f>
        <v>103908566.72</v>
      </c>
      <c r="G76" s="65"/>
      <c r="I76" s="80">
        <v>101563041.91</v>
      </c>
      <c r="L76" s="80">
        <f t="shared" si="0"/>
        <v>-2345524.8100000024</v>
      </c>
      <c r="M76" s="80">
        <f t="shared" si="1"/>
        <v>0</v>
      </c>
    </row>
    <row r="77" spans="1:13" ht="15.75" outlineLevel="5">
      <c r="A77" s="63" t="s">
        <v>677</v>
      </c>
      <c r="B77" s="64" t="s">
        <v>268</v>
      </c>
      <c r="C77" s="64" t="s">
        <v>70</v>
      </c>
      <c r="D77" s="64" t="s">
        <v>239</v>
      </c>
      <c r="E77" s="64" t="s">
        <v>5</v>
      </c>
      <c r="F77" s="65">
        <f>Приложение_6!F635</f>
        <v>103908566.72</v>
      </c>
      <c r="G77" s="65"/>
      <c r="I77" s="80">
        <v>101563041.91</v>
      </c>
      <c r="L77" s="80">
        <f t="shared" si="0"/>
        <v>-2345524.8100000024</v>
      </c>
      <c r="M77" s="80">
        <f t="shared" si="1"/>
        <v>0</v>
      </c>
    </row>
    <row r="78" spans="1:13" ht="31.5" outlineLevel="2">
      <c r="A78" s="63" t="s">
        <v>560</v>
      </c>
      <c r="B78" s="64" t="s">
        <v>269</v>
      </c>
      <c r="C78" s="64" t="s">
        <v>1</v>
      </c>
      <c r="D78" s="64" t="s">
        <v>3</v>
      </c>
      <c r="E78" s="64" t="s">
        <v>3</v>
      </c>
      <c r="F78" s="65">
        <f>F79+F82+F85</f>
        <v>8018033.57</v>
      </c>
      <c r="G78" s="65">
        <f>G84+G87</f>
        <v>1778664</v>
      </c>
      <c r="I78" s="80">
        <v>8217225.04</v>
      </c>
      <c r="J78" s="80">
        <v>1360214.04</v>
      </c>
      <c r="L78" s="80">
        <f aca="true" t="shared" si="4" ref="L78:L141">I78-F78</f>
        <v>199191.46999999974</v>
      </c>
      <c r="M78" s="80">
        <f aca="true" t="shared" si="5" ref="M78:M141">J78-G78</f>
        <v>-418449.95999999996</v>
      </c>
    </row>
    <row r="79" spans="1:13" ht="126" outlineLevel="3">
      <c r="A79" s="63" t="s">
        <v>432</v>
      </c>
      <c r="B79" s="64" t="s">
        <v>270</v>
      </c>
      <c r="C79" s="64" t="s">
        <v>1</v>
      </c>
      <c r="D79" s="64" t="s">
        <v>3</v>
      </c>
      <c r="E79" s="64" t="s">
        <v>3</v>
      </c>
      <c r="F79" s="65">
        <f>F80</f>
        <v>6239369.57</v>
      </c>
      <c r="G79" s="65"/>
      <c r="I79" s="80">
        <v>6857011</v>
      </c>
      <c r="L79" s="80">
        <f t="shared" si="4"/>
        <v>617641.4299999997</v>
      </c>
      <c r="M79" s="80">
        <f t="shared" si="5"/>
        <v>0</v>
      </c>
    </row>
    <row r="80" spans="1:13" ht="78.75" outlineLevel="4">
      <c r="A80" s="63" t="s">
        <v>692</v>
      </c>
      <c r="B80" s="64" t="s">
        <v>270</v>
      </c>
      <c r="C80" s="64" t="s">
        <v>70</v>
      </c>
      <c r="D80" s="64" t="s">
        <v>3</v>
      </c>
      <c r="E80" s="64" t="s">
        <v>3</v>
      </c>
      <c r="F80" s="65">
        <f>F81</f>
        <v>6239369.57</v>
      </c>
      <c r="G80" s="65"/>
      <c r="I80" s="80">
        <v>6857011</v>
      </c>
      <c r="L80" s="80">
        <f t="shared" si="4"/>
        <v>617641.4299999997</v>
      </c>
      <c r="M80" s="80">
        <f t="shared" si="5"/>
        <v>0</v>
      </c>
    </row>
    <row r="81" spans="1:13" ht="15.75" outlineLevel="5">
      <c r="A81" s="63" t="s">
        <v>677</v>
      </c>
      <c r="B81" s="64" t="s">
        <v>270</v>
      </c>
      <c r="C81" s="64" t="s">
        <v>70</v>
      </c>
      <c r="D81" s="64" t="s">
        <v>239</v>
      </c>
      <c r="E81" s="64" t="s">
        <v>5</v>
      </c>
      <c r="F81" s="65">
        <f>Приложение_6!F638</f>
        <v>6239369.57</v>
      </c>
      <c r="G81" s="65"/>
      <c r="I81" s="80">
        <v>6857011</v>
      </c>
      <c r="L81" s="80">
        <f t="shared" si="4"/>
        <v>617641.4299999997</v>
      </c>
      <c r="M81" s="80">
        <f t="shared" si="5"/>
        <v>0</v>
      </c>
    </row>
    <row r="82" spans="1:13" ht="157.5" outlineLevel="3">
      <c r="A82" s="63" t="s">
        <v>473</v>
      </c>
      <c r="B82" s="64" t="s">
        <v>375</v>
      </c>
      <c r="C82" s="64" t="s">
        <v>1</v>
      </c>
      <c r="D82" s="64" t="s">
        <v>3</v>
      </c>
      <c r="E82" s="64" t="s">
        <v>3</v>
      </c>
      <c r="F82" s="65">
        <f>F83</f>
        <v>4964</v>
      </c>
      <c r="G82" s="65">
        <f>G83</f>
        <v>4964</v>
      </c>
      <c r="I82" s="80">
        <v>3548.08</v>
      </c>
      <c r="J82" s="80">
        <v>3548.08</v>
      </c>
      <c r="L82" s="80">
        <f t="shared" si="4"/>
        <v>-1415.92</v>
      </c>
      <c r="M82" s="80">
        <f t="shared" si="5"/>
        <v>-1415.92</v>
      </c>
    </row>
    <row r="83" spans="1:13" ht="78.75" outlineLevel="4">
      <c r="A83" s="63" t="s">
        <v>692</v>
      </c>
      <c r="B83" s="64" t="s">
        <v>375</v>
      </c>
      <c r="C83" s="64" t="s">
        <v>70</v>
      </c>
      <c r="D83" s="64" t="s">
        <v>3</v>
      </c>
      <c r="E83" s="64" t="s">
        <v>3</v>
      </c>
      <c r="F83" s="65">
        <f>F84</f>
        <v>4964</v>
      </c>
      <c r="G83" s="65">
        <f>G84</f>
        <v>4964</v>
      </c>
      <c r="I83" s="80">
        <v>3548.08</v>
      </c>
      <c r="J83" s="80">
        <v>3548.08</v>
      </c>
      <c r="L83" s="80">
        <f t="shared" si="4"/>
        <v>-1415.92</v>
      </c>
      <c r="M83" s="80">
        <f t="shared" si="5"/>
        <v>-1415.92</v>
      </c>
    </row>
    <row r="84" spans="1:13" ht="31.5" outlineLevel="5">
      <c r="A84" s="63" t="s">
        <v>683</v>
      </c>
      <c r="B84" s="64" t="s">
        <v>375</v>
      </c>
      <c r="C84" s="64" t="s">
        <v>70</v>
      </c>
      <c r="D84" s="64" t="s">
        <v>187</v>
      </c>
      <c r="E84" s="64" t="s">
        <v>14</v>
      </c>
      <c r="F84" s="65">
        <f>Приложение_6!F886</f>
        <v>4964</v>
      </c>
      <c r="G84" s="65">
        <f>F84</f>
        <v>4964</v>
      </c>
      <c r="I84" s="80">
        <v>3548.08</v>
      </c>
      <c r="J84" s="80">
        <v>3548.08</v>
      </c>
      <c r="L84" s="80">
        <f t="shared" si="4"/>
        <v>-1415.92</v>
      </c>
      <c r="M84" s="80">
        <f t="shared" si="5"/>
        <v>-1415.92</v>
      </c>
    </row>
    <row r="85" spans="1:13" ht="141.75" customHeight="1" outlineLevel="3">
      <c r="A85" s="63" t="s">
        <v>474</v>
      </c>
      <c r="B85" s="64" t="s">
        <v>376</v>
      </c>
      <c r="C85" s="64" t="s">
        <v>1</v>
      </c>
      <c r="D85" s="64" t="s">
        <v>3</v>
      </c>
      <c r="E85" s="64" t="s">
        <v>3</v>
      </c>
      <c r="F85" s="65">
        <f>F86</f>
        <v>1773700</v>
      </c>
      <c r="G85" s="65">
        <f>G86</f>
        <v>1773700</v>
      </c>
      <c r="I85" s="80">
        <v>1356665.96</v>
      </c>
      <c r="J85" s="80">
        <v>1356665.96</v>
      </c>
      <c r="L85" s="80">
        <f t="shared" si="4"/>
        <v>-417034.04000000004</v>
      </c>
      <c r="M85" s="80">
        <f t="shared" si="5"/>
        <v>-417034.04000000004</v>
      </c>
    </row>
    <row r="86" spans="1:13" ht="78.75" outlineLevel="4">
      <c r="A86" s="63" t="s">
        <v>692</v>
      </c>
      <c r="B86" s="64" t="s">
        <v>376</v>
      </c>
      <c r="C86" s="64" t="s">
        <v>70</v>
      </c>
      <c r="D86" s="64" t="s">
        <v>3</v>
      </c>
      <c r="E86" s="64" t="s">
        <v>3</v>
      </c>
      <c r="F86" s="65">
        <f>F87</f>
        <v>1773700</v>
      </c>
      <c r="G86" s="65">
        <f>G87</f>
        <v>1773700</v>
      </c>
      <c r="I86" s="80">
        <v>1356665.96</v>
      </c>
      <c r="J86" s="80">
        <v>1356665.96</v>
      </c>
      <c r="L86" s="80">
        <f t="shared" si="4"/>
        <v>-417034.04000000004</v>
      </c>
      <c r="M86" s="80">
        <f t="shared" si="5"/>
        <v>-417034.04000000004</v>
      </c>
    </row>
    <row r="87" spans="1:13" ht="31.5" outlineLevel="5">
      <c r="A87" s="63" t="s">
        <v>683</v>
      </c>
      <c r="B87" s="64" t="s">
        <v>376</v>
      </c>
      <c r="C87" s="64" t="s">
        <v>70</v>
      </c>
      <c r="D87" s="64" t="s">
        <v>187</v>
      </c>
      <c r="E87" s="64" t="s">
        <v>14</v>
      </c>
      <c r="F87" s="65">
        <f>Приложение_6!F888</f>
        <v>1773700</v>
      </c>
      <c r="G87" s="65">
        <f>F87</f>
        <v>1773700</v>
      </c>
      <c r="I87" s="80">
        <v>1356665.96</v>
      </c>
      <c r="J87" s="80">
        <v>1356665.96</v>
      </c>
      <c r="L87" s="80">
        <f t="shared" si="4"/>
        <v>-417034.04000000004</v>
      </c>
      <c r="M87" s="80">
        <f t="shared" si="5"/>
        <v>-417034.04000000004</v>
      </c>
    </row>
    <row r="88" spans="1:13" ht="78.75" customHeight="1" outlineLevel="2">
      <c r="A88" s="63" t="s">
        <v>569</v>
      </c>
      <c r="B88" s="64" t="s">
        <v>273</v>
      </c>
      <c r="C88" s="64" t="s">
        <v>1</v>
      </c>
      <c r="D88" s="64" t="s">
        <v>3</v>
      </c>
      <c r="E88" s="64" t="s">
        <v>3</v>
      </c>
      <c r="F88" s="65">
        <f>F89+F92+F95</f>
        <v>205902473.75</v>
      </c>
      <c r="G88" s="65">
        <f>G94</f>
        <v>5986202.630000001</v>
      </c>
      <c r="I88" s="80">
        <v>209853851.44</v>
      </c>
      <c r="J88" s="80">
        <v>5845011.44</v>
      </c>
      <c r="L88" s="80">
        <f t="shared" si="4"/>
        <v>3951377.6899999976</v>
      </c>
      <c r="M88" s="80">
        <f t="shared" si="5"/>
        <v>-141191.1900000004</v>
      </c>
    </row>
    <row r="89" spans="1:13" ht="126" outlineLevel="3">
      <c r="A89" s="63" t="s">
        <v>443</v>
      </c>
      <c r="B89" s="64" t="s">
        <v>274</v>
      </c>
      <c r="C89" s="64" t="s">
        <v>1</v>
      </c>
      <c r="D89" s="64" t="s">
        <v>3</v>
      </c>
      <c r="E89" s="64" t="s">
        <v>3</v>
      </c>
      <c r="F89" s="65">
        <f>F90</f>
        <v>196950490</v>
      </c>
      <c r="G89" s="65"/>
      <c r="I89" s="80">
        <v>201050490</v>
      </c>
      <c r="L89" s="80">
        <f t="shared" si="4"/>
        <v>4100000</v>
      </c>
      <c r="M89" s="80">
        <f t="shared" si="5"/>
        <v>0</v>
      </c>
    </row>
    <row r="90" spans="1:13" ht="78.75" outlineLevel="4">
      <c r="A90" s="63" t="s">
        <v>692</v>
      </c>
      <c r="B90" s="64" t="s">
        <v>274</v>
      </c>
      <c r="C90" s="64" t="s">
        <v>70</v>
      </c>
      <c r="D90" s="64" t="s">
        <v>3</v>
      </c>
      <c r="E90" s="64" t="s">
        <v>3</v>
      </c>
      <c r="F90" s="65">
        <f>F91</f>
        <v>196950490</v>
      </c>
      <c r="G90" s="65"/>
      <c r="I90" s="80">
        <v>201050490</v>
      </c>
      <c r="L90" s="80">
        <f t="shared" si="4"/>
        <v>4100000</v>
      </c>
      <c r="M90" s="80">
        <f t="shared" si="5"/>
        <v>0</v>
      </c>
    </row>
    <row r="91" spans="1:13" ht="31.5" outlineLevel="5">
      <c r="A91" s="63" t="s">
        <v>678</v>
      </c>
      <c r="B91" s="64" t="s">
        <v>274</v>
      </c>
      <c r="C91" s="64" t="s">
        <v>70</v>
      </c>
      <c r="D91" s="64" t="s">
        <v>239</v>
      </c>
      <c r="E91" s="64" t="s">
        <v>14</v>
      </c>
      <c r="F91" s="65">
        <f>Приложение_6!F663</f>
        <v>196950490</v>
      </c>
      <c r="G91" s="65"/>
      <c r="I91" s="80">
        <v>201050490</v>
      </c>
      <c r="L91" s="80">
        <f t="shared" si="4"/>
        <v>4100000</v>
      </c>
      <c r="M91" s="80">
        <f t="shared" si="5"/>
        <v>0</v>
      </c>
    </row>
    <row r="92" spans="1:13" ht="126" outlineLevel="3">
      <c r="A92" s="63" t="s">
        <v>465</v>
      </c>
      <c r="B92" s="64" t="s">
        <v>275</v>
      </c>
      <c r="C92" s="64" t="s">
        <v>1</v>
      </c>
      <c r="D92" s="64" t="s">
        <v>3</v>
      </c>
      <c r="E92" s="64" t="s">
        <v>3</v>
      </c>
      <c r="F92" s="65">
        <f>F93</f>
        <v>5986202.630000001</v>
      </c>
      <c r="G92" s="65">
        <f>G93</f>
        <v>5986202.630000001</v>
      </c>
      <c r="I92" s="80">
        <v>5845011.44</v>
      </c>
      <c r="J92" s="80">
        <v>5845011.44</v>
      </c>
      <c r="L92" s="80">
        <f t="shared" si="4"/>
        <v>-141191.1900000004</v>
      </c>
      <c r="M92" s="80">
        <f t="shared" si="5"/>
        <v>-141191.1900000004</v>
      </c>
    </row>
    <row r="93" spans="1:13" ht="78.75" outlineLevel="4">
      <c r="A93" s="63" t="s">
        <v>692</v>
      </c>
      <c r="B93" s="64" t="s">
        <v>275</v>
      </c>
      <c r="C93" s="64" t="s">
        <v>70</v>
      </c>
      <c r="D93" s="64" t="s">
        <v>3</v>
      </c>
      <c r="E93" s="64" t="s">
        <v>3</v>
      </c>
      <c r="F93" s="65">
        <f>F94</f>
        <v>5986202.630000001</v>
      </c>
      <c r="G93" s="65">
        <f>G94</f>
        <v>5986202.630000001</v>
      </c>
      <c r="I93" s="80">
        <v>5845011.44</v>
      </c>
      <c r="J93" s="80">
        <v>5845011.44</v>
      </c>
      <c r="L93" s="80">
        <f t="shared" si="4"/>
        <v>-141191.1900000004</v>
      </c>
      <c r="M93" s="80">
        <f t="shared" si="5"/>
        <v>-141191.1900000004</v>
      </c>
    </row>
    <row r="94" spans="1:13" ht="31.5" outlineLevel="5">
      <c r="A94" s="63" t="s">
        <v>678</v>
      </c>
      <c r="B94" s="64" t="s">
        <v>275</v>
      </c>
      <c r="C94" s="64" t="s">
        <v>70</v>
      </c>
      <c r="D94" s="64" t="s">
        <v>239</v>
      </c>
      <c r="E94" s="64" t="s">
        <v>14</v>
      </c>
      <c r="F94" s="65">
        <f>Приложение_6!F665</f>
        <v>5986202.630000001</v>
      </c>
      <c r="G94" s="65">
        <f>F94</f>
        <v>5986202.630000001</v>
      </c>
      <c r="I94" s="80">
        <v>5845011.44</v>
      </c>
      <c r="J94" s="80">
        <v>5845011.44</v>
      </c>
      <c r="L94" s="80">
        <f t="shared" si="4"/>
        <v>-141191.1900000004</v>
      </c>
      <c r="M94" s="80">
        <f t="shared" si="5"/>
        <v>-141191.1900000004</v>
      </c>
    </row>
    <row r="95" spans="1:13" ht="126" outlineLevel="3">
      <c r="A95" s="63" t="s">
        <v>465</v>
      </c>
      <c r="B95" s="64" t="s">
        <v>276</v>
      </c>
      <c r="C95" s="64" t="s">
        <v>1</v>
      </c>
      <c r="D95" s="64" t="s">
        <v>3</v>
      </c>
      <c r="E95" s="64" t="s">
        <v>3</v>
      </c>
      <c r="F95" s="65">
        <f>F96</f>
        <v>2965781.12</v>
      </c>
      <c r="G95" s="65"/>
      <c r="I95" s="80">
        <v>2958350</v>
      </c>
      <c r="L95" s="80">
        <f t="shared" si="4"/>
        <v>-7431.120000000112</v>
      </c>
      <c r="M95" s="80">
        <f t="shared" si="5"/>
        <v>0</v>
      </c>
    </row>
    <row r="96" spans="1:13" ht="78.75" outlineLevel="4">
      <c r="A96" s="63" t="s">
        <v>692</v>
      </c>
      <c r="B96" s="64" t="s">
        <v>276</v>
      </c>
      <c r="C96" s="64" t="s">
        <v>70</v>
      </c>
      <c r="D96" s="64" t="s">
        <v>3</v>
      </c>
      <c r="E96" s="64" t="s">
        <v>3</v>
      </c>
      <c r="F96" s="65">
        <f>F97</f>
        <v>2965781.12</v>
      </c>
      <c r="G96" s="65"/>
      <c r="I96" s="80">
        <v>2958350</v>
      </c>
      <c r="L96" s="80">
        <f t="shared" si="4"/>
        <v>-7431.120000000112</v>
      </c>
      <c r="M96" s="80">
        <f t="shared" si="5"/>
        <v>0</v>
      </c>
    </row>
    <row r="97" spans="1:13" ht="31.5" outlineLevel="5">
      <c r="A97" s="63" t="s">
        <v>678</v>
      </c>
      <c r="B97" s="64" t="s">
        <v>276</v>
      </c>
      <c r="C97" s="64" t="s">
        <v>70</v>
      </c>
      <c r="D97" s="64" t="s">
        <v>239</v>
      </c>
      <c r="E97" s="64" t="s">
        <v>14</v>
      </c>
      <c r="F97" s="65">
        <f>Приложение_6!F667</f>
        <v>2965781.12</v>
      </c>
      <c r="G97" s="65"/>
      <c r="I97" s="80">
        <v>2958350</v>
      </c>
      <c r="L97" s="80">
        <f t="shared" si="4"/>
        <v>-7431.120000000112</v>
      </c>
      <c r="M97" s="80">
        <f t="shared" si="5"/>
        <v>0</v>
      </c>
    </row>
    <row r="98" spans="1:13" ht="31.5" outlineLevel="2">
      <c r="A98" s="63" t="s">
        <v>560</v>
      </c>
      <c r="B98" s="64" t="s">
        <v>277</v>
      </c>
      <c r="C98" s="64" t="s">
        <v>1</v>
      </c>
      <c r="D98" s="64" t="s">
        <v>3</v>
      </c>
      <c r="E98" s="64" t="s">
        <v>3</v>
      </c>
      <c r="F98" s="65">
        <f>F99</f>
        <v>3172093.4</v>
      </c>
      <c r="G98" s="65"/>
      <c r="I98" s="80">
        <v>3422320</v>
      </c>
      <c r="L98" s="80">
        <f t="shared" si="4"/>
        <v>250226.6000000001</v>
      </c>
      <c r="M98" s="80">
        <f t="shared" si="5"/>
        <v>0</v>
      </c>
    </row>
    <row r="99" spans="1:13" ht="126" outlineLevel="3">
      <c r="A99" s="63" t="s">
        <v>432</v>
      </c>
      <c r="B99" s="64" t="s">
        <v>278</v>
      </c>
      <c r="C99" s="64" t="s">
        <v>1</v>
      </c>
      <c r="D99" s="64" t="s">
        <v>3</v>
      </c>
      <c r="E99" s="64" t="s">
        <v>3</v>
      </c>
      <c r="F99" s="65">
        <f>F100</f>
        <v>3172093.4</v>
      </c>
      <c r="G99" s="65"/>
      <c r="I99" s="80">
        <v>3422320</v>
      </c>
      <c r="L99" s="80">
        <f t="shared" si="4"/>
        <v>250226.6000000001</v>
      </c>
      <c r="M99" s="80">
        <f t="shared" si="5"/>
        <v>0</v>
      </c>
    </row>
    <row r="100" spans="1:13" ht="78.75" outlineLevel="4">
      <c r="A100" s="63" t="s">
        <v>692</v>
      </c>
      <c r="B100" s="64" t="s">
        <v>278</v>
      </c>
      <c r="C100" s="64" t="s">
        <v>70</v>
      </c>
      <c r="D100" s="64" t="s">
        <v>3</v>
      </c>
      <c r="E100" s="64" t="s">
        <v>3</v>
      </c>
      <c r="F100" s="65">
        <f>F101</f>
        <v>3172093.4</v>
      </c>
      <c r="G100" s="65"/>
      <c r="I100" s="80">
        <v>3422320</v>
      </c>
      <c r="L100" s="80">
        <f t="shared" si="4"/>
        <v>250226.6000000001</v>
      </c>
      <c r="M100" s="80">
        <f t="shared" si="5"/>
        <v>0</v>
      </c>
    </row>
    <row r="101" spans="1:13" ht="31.5" outlineLevel="5">
      <c r="A101" s="63" t="s">
        <v>678</v>
      </c>
      <c r="B101" s="64" t="s">
        <v>278</v>
      </c>
      <c r="C101" s="64" t="s">
        <v>70</v>
      </c>
      <c r="D101" s="64" t="s">
        <v>239</v>
      </c>
      <c r="E101" s="64" t="s">
        <v>14</v>
      </c>
      <c r="F101" s="65">
        <f>Приложение_6!F670</f>
        <v>3172093.4</v>
      </c>
      <c r="G101" s="65"/>
      <c r="I101" s="80">
        <v>3422320</v>
      </c>
      <c r="L101" s="80">
        <f t="shared" si="4"/>
        <v>250226.6000000001</v>
      </c>
      <c r="M101" s="80">
        <f t="shared" si="5"/>
        <v>0</v>
      </c>
    </row>
    <row r="102" spans="1:13" ht="63" outlineLevel="1">
      <c r="A102" s="70" t="s">
        <v>610</v>
      </c>
      <c r="B102" s="71" t="s">
        <v>24</v>
      </c>
      <c r="C102" s="71" t="s">
        <v>1</v>
      </c>
      <c r="D102" s="71" t="s">
        <v>3</v>
      </c>
      <c r="E102" s="71" t="s">
        <v>3</v>
      </c>
      <c r="F102" s="72">
        <f>F103+F107+F114+F120+F124+F131+F135+F139+F143+F153</f>
        <v>58246118.66</v>
      </c>
      <c r="G102" s="72">
        <f>G103+G107+G114+G120+G124+G131+G135+G139+G143+G153</f>
        <v>41769800</v>
      </c>
      <c r="I102" s="80">
        <v>58246118.66</v>
      </c>
      <c r="L102" s="80">
        <f t="shared" si="4"/>
        <v>0</v>
      </c>
      <c r="M102" s="80">
        <f t="shared" si="5"/>
        <v>-41769800</v>
      </c>
    </row>
    <row r="103" spans="1:13" ht="252" outlineLevel="2">
      <c r="A103" s="63" t="s">
        <v>491</v>
      </c>
      <c r="B103" s="64" t="s">
        <v>25</v>
      </c>
      <c r="C103" s="64" t="s">
        <v>1</v>
      </c>
      <c r="D103" s="64" t="s">
        <v>3</v>
      </c>
      <c r="E103" s="64" t="s">
        <v>3</v>
      </c>
      <c r="F103" s="65">
        <f>F104</f>
        <v>484246.3100000001</v>
      </c>
      <c r="G103" s="65"/>
      <c r="I103" s="80">
        <v>1373779.26</v>
      </c>
      <c r="L103" s="80">
        <f t="shared" si="4"/>
        <v>889532.95</v>
      </c>
      <c r="M103" s="80">
        <f t="shared" si="5"/>
        <v>0</v>
      </c>
    </row>
    <row r="104" spans="1:13" ht="63" outlineLevel="3">
      <c r="A104" s="63" t="s">
        <v>434</v>
      </c>
      <c r="B104" s="64" t="s">
        <v>26</v>
      </c>
      <c r="C104" s="64" t="s">
        <v>1</v>
      </c>
      <c r="D104" s="64" t="s">
        <v>3</v>
      </c>
      <c r="E104" s="64" t="s">
        <v>3</v>
      </c>
      <c r="F104" s="65">
        <f>F105</f>
        <v>484246.3100000001</v>
      </c>
      <c r="G104" s="65"/>
      <c r="I104" s="80">
        <v>1373779.26</v>
      </c>
      <c r="L104" s="80">
        <f t="shared" si="4"/>
        <v>889532.95</v>
      </c>
      <c r="M104" s="80">
        <f t="shared" si="5"/>
        <v>0</v>
      </c>
    </row>
    <row r="105" spans="1:13" ht="141.75" outlineLevel="4">
      <c r="A105" s="63" t="s">
        <v>856</v>
      </c>
      <c r="B105" s="64" t="s">
        <v>26</v>
      </c>
      <c r="C105" s="64" t="s">
        <v>10</v>
      </c>
      <c r="D105" s="64" t="s">
        <v>3</v>
      </c>
      <c r="E105" s="64" t="s">
        <v>3</v>
      </c>
      <c r="F105" s="65">
        <f>F106</f>
        <v>484246.3100000001</v>
      </c>
      <c r="G105" s="65"/>
      <c r="I105" s="80">
        <v>1373779.26</v>
      </c>
      <c r="L105" s="80">
        <f t="shared" si="4"/>
        <v>889532.95</v>
      </c>
      <c r="M105" s="80">
        <f t="shared" si="5"/>
        <v>0</v>
      </c>
    </row>
    <row r="106" spans="1:13" ht="126" outlineLevel="5">
      <c r="A106" s="63" t="s">
        <v>661</v>
      </c>
      <c r="B106" s="64" t="s">
        <v>26</v>
      </c>
      <c r="C106" s="64" t="s">
        <v>10</v>
      </c>
      <c r="D106" s="64" t="s">
        <v>2</v>
      </c>
      <c r="E106" s="64" t="s">
        <v>22</v>
      </c>
      <c r="F106" s="65">
        <f>Приложение_6!F54</f>
        <v>484246.3100000001</v>
      </c>
      <c r="G106" s="65"/>
      <c r="I106" s="80">
        <v>1373779.26</v>
      </c>
      <c r="L106" s="80">
        <f t="shared" si="4"/>
        <v>889532.95</v>
      </c>
      <c r="M106" s="80">
        <f t="shared" si="5"/>
        <v>0</v>
      </c>
    </row>
    <row r="107" spans="1:13" ht="126" outlineLevel="2">
      <c r="A107" s="63" t="s">
        <v>492</v>
      </c>
      <c r="B107" s="64" t="s">
        <v>27</v>
      </c>
      <c r="C107" s="64" t="s">
        <v>1</v>
      </c>
      <c r="D107" s="64" t="s">
        <v>3</v>
      </c>
      <c r="E107" s="64" t="s">
        <v>3</v>
      </c>
      <c r="F107" s="65">
        <f>F108+F111</f>
        <v>2897595.5199999996</v>
      </c>
      <c r="G107" s="65"/>
      <c r="I107" s="80">
        <v>2124094.82</v>
      </c>
      <c r="L107" s="80">
        <f t="shared" si="4"/>
        <v>-773500.6999999997</v>
      </c>
      <c r="M107" s="80">
        <f t="shared" si="5"/>
        <v>0</v>
      </c>
    </row>
    <row r="108" spans="1:13" ht="63" outlineLevel="3">
      <c r="A108" s="63" t="s">
        <v>434</v>
      </c>
      <c r="B108" s="64" t="s">
        <v>28</v>
      </c>
      <c r="C108" s="64" t="s">
        <v>1</v>
      </c>
      <c r="D108" s="64" t="s">
        <v>3</v>
      </c>
      <c r="E108" s="64" t="s">
        <v>3</v>
      </c>
      <c r="F108" s="65">
        <f>F109</f>
        <v>2869995.5199999996</v>
      </c>
      <c r="G108" s="65"/>
      <c r="I108" s="80">
        <v>2099094.82</v>
      </c>
      <c r="L108" s="80">
        <f t="shared" si="4"/>
        <v>-770900.6999999997</v>
      </c>
      <c r="M108" s="80">
        <f t="shared" si="5"/>
        <v>0</v>
      </c>
    </row>
    <row r="109" spans="1:13" ht="141.75" outlineLevel="4">
      <c r="A109" s="63" t="s">
        <v>856</v>
      </c>
      <c r="B109" s="64" t="s">
        <v>28</v>
      </c>
      <c r="C109" s="64" t="s">
        <v>10</v>
      </c>
      <c r="D109" s="64" t="s">
        <v>3</v>
      </c>
      <c r="E109" s="64" t="s">
        <v>3</v>
      </c>
      <c r="F109" s="65">
        <f>F110</f>
        <v>2869995.5199999996</v>
      </c>
      <c r="G109" s="65"/>
      <c r="I109" s="80">
        <v>2099094.82</v>
      </c>
      <c r="L109" s="80">
        <f t="shared" si="4"/>
        <v>-770900.6999999997</v>
      </c>
      <c r="M109" s="80">
        <f t="shared" si="5"/>
        <v>0</v>
      </c>
    </row>
    <row r="110" spans="1:13" ht="126" outlineLevel="5">
      <c r="A110" s="63" t="s">
        <v>661</v>
      </c>
      <c r="B110" s="64" t="s">
        <v>28</v>
      </c>
      <c r="C110" s="64" t="s">
        <v>10</v>
      </c>
      <c r="D110" s="64" t="s">
        <v>2</v>
      </c>
      <c r="E110" s="64" t="s">
        <v>22</v>
      </c>
      <c r="F110" s="65">
        <f>Приложение_6!F57</f>
        <v>2869995.5199999996</v>
      </c>
      <c r="G110" s="65"/>
      <c r="I110" s="80">
        <v>2099094.82</v>
      </c>
      <c r="L110" s="80">
        <f t="shared" si="4"/>
        <v>-770900.6999999997</v>
      </c>
      <c r="M110" s="80">
        <f t="shared" si="5"/>
        <v>0</v>
      </c>
    </row>
    <row r="111" spans="1:13" ht="126" outlineLevel="3">
      <c r="A111" s="63" t="s">
        <v>432</v>
      </c>
      <c r="B111" s="64" t="s">
        <v>29</v>
      </c>
      <c r="C111" s="64" t="s">
        <v>1</v>
      </c>
      <c r="D111" s="64" t="s">
        <v>3</v>
      </c>
      <c r="E111" s="64" t="s">
        <v>3</v>
      </c>
      <c r="F111" s="65">
        <f>F112</f>
        <v>27600</v>
      </c>
      <c r="G111" s="65"/>
      <c r="I111" s="80">
        <v>25000</v>
      </c>
      <c r="L111" s="80">
        <f t="shared" si="4"/>
        <v>-2600</v>
      </c>
      <c r="M111" s="80">
        <f t="shared" si="5"/>
        <v>0</v>
      </c>
    </row>
    <row r="112" spans="1:13" ht="141.75" outlineLevel="4">
      <c r="A112" s="63" t="s">
        <v>856</v>
      </c>
      <c r="B112" s="64" t="s">
        <v>29</v>
      </c>
      <c r="C112" s="64" t="s">
        <v>10</v>
      </c>
      <c r="D112" s="64" t="s">
        <v>3</v>
      </c>
      <c r="E112" s="64" t="s">
        <v>3</v>
      </c>
      <c r="F112" s="65">
        <f>F113</f>
        <v>27600</v>
      </c>
      <c r="G112" s="65"/>
      <c r="I112" s="80">
        <v>25000</v>
      </c>
      <c r="L112" s="80">
        <f t="shared" si="4"/>
        <v>-2600</v>
      </c>
      <c r="M112" s="80">
        <f t="shared" si="5"/>
        <v>0</v>
      </c>
    </row>
    <row r="113" spans="1:13" ht="126" outlineLevel="5">
      <c r="A113" s="63" t="s">
        <v>661</v>
      </c>
      <c r="B113" s="64" t="s">
        <v>29</v>
      </c>
      <c r="C113" s="64" t="s">
        <v>10</v>
      </c>
      <c r="D113" s="64" t="s">
        <v>2</v>
      </c>
      <c r="E113" s="64" t="s">
        <v>22</v>
      </c>
      <c r="F113" s="65">
        <f>Приложение_6!F59</f>
        <v>27600</v>
      </c>
      <c r="G113" s="65"/>
      <c r="I113" s="80">
        <v>25000</v>
      </c>
      <c r="L113" s="80">
        <f t="shared" si="4"/>
        <v>-2600</v>
      </c>
      <c r="M113" s="80">
        <f t="shared" si="5"/>
        <v>0</v>
      </c>
    </row>
    <row r="114" spans="1:13" ht="78.75" outlineLevel="2">
      <c r="A114" s="63" t="s">
        <v>600</v>
      </c>
      <c r="B114" s="64" t="s">
        <v>392</v>
      </c>
      <c r="C114" s="64" t="s">
        <v>1</v>
      </c>
      <c r="D114" s="64" t="s">
        <v>3</v>
      </c>
      <c r="E114" s="64" t="s">
        <v>3</v>
      </c>
      <c r="F114" s="65">
        <f>F115</f>
        <v>5286000</v>
      </c>
      <c r="G114" s="65">
        <f>G115</f>
        <v>5286000</v>
      </c>
      <c r="I114" s="80">
        <v>5286000</v>
      </c>
      <c r="J114" s="80">
        <v>5286000</v>
      </c>
      <c r="L114" s="80">
        <f t="shared" si="4"/>
        <v>0</v>
      </c>
      <c r="M114" s="80">
        <f t="shared" si="5"/>
        <v>0</v>
      </c>
    </row>
    <row r="115" spans="1:13" ht="189" outlineLevel="3">
      <c r="A115" s="63" t="s">
        <v>481</v>
      </c>
      <c r="B115" s="64" t="s">
        <v>393</v>
      </c>
      <c r="C115" s="64" t="s">
        <v>1</v>
      </c>
      <c r="D115" s="64" t="s">
        <v>3</v>
      </c>
      <c r="E115" s="64" t="s">
        <v>3</v>
      </c>
      <c r="F115" s="65">
        <f>F116+F118</f>
        <v>5286000</v>
      </c>
      <c r="G115" s="65">
        <f>G116+G118</f>
        <v>5286000</v>
      </c>
      <c r="I115" s="80">
        <v>5286000</v>
      </c>
      <c r="J115" s="80">
        <v>5286000</v>
      </c>
      <c r="L115" s="80">
        <f t="shared" si="4"/>
        <v>0</v>
      </c>
      <c r="M115" s="80">
        <f t="shared" si="5"/>
        <v>0</v>
      </c>
    </row>
    <row r="116" spans="1:13" ht="141.75" outlineLevel="4">
      <c r="A116" s="63" t="s">
        <v>856</v>
      </c>
      <c r="B116" s="64" t="s">
        <v>393</v>
      </c>
      <c r="C116" s="64" t="s">
        <v>10</v>
      </c>
      <c r="D116" s="64" t="s">
        <v>3</v>
      </c>
      <c r="E116" s="64" t="s">
        <v>3</v>
      </c>
      <c r="F116" s="65">
        <f>F117</f>
        <v>3998157.5599999996</v>
      </c>
      <c r="G116" s="65">
        <f>G117</f>
        <v>3998157.5599999996</v>
      </c>
      <c r="I116" s="80">
        <v>3774682.59</v>
      </c>
      <c r="J116" s="80">
        <v>3774682.59</v>
      </c>
      <c r="L116" s="80">
        <f t="shared" si="4"/>
        <v>-223474.96999999974</v>
      </c>
      <c r="M116" s="80">
        <f t="shared" si="5"/>
        <v>-223474.96999999974</v>
      </c>
    </row>
    <row r="117" spans="1:13" ht="15.75" outlineLevel="5">
      <c r="A117" s="63" t="s">
        <v>684</v>
      </c>
      <c r="B117" s="64" t="s">
        <v>393</v>
      </c>
      <c r="C117" s="64" t="s">
        <v>10</v>
      </c>
      <c r="D117" s="64" t="s">
        <v>187</v>
      </c>
      <c r="E117" s="64" t="s">
        <v>22</v>
      </c>
      <c r="F117" s="65">
        <f>Приложение_6!F927</f>
        <v>3998157.5599999996</v>
      </c>
      <c r="G117" s="65">
        <f>F117</f>
        <v>3998157.5599999996</v>
      </c>
      <c r="I117" s="80">
        <v>3774682.59</v>
      </c>
      <c r="J117" s="80">
        <v>3774682.59</v>
      </c>
      <c r="L117" s="80">
        <f t="shared" si="4"/>
        <v>-223474.96999999974</v>
      </c>
      <c r="M117" s="80">
        <f t="shared" si="5"/>
        <v>-223474.96999999974</v>
      </c>
    </row>
    <row r="118" spans="1:13" ht="63" outlineLevel="4">
      <c r="A118" s="63" t="s">
        <v>689</v>
      </c>
      <c r="B118" s="64" t="s">
        <v>393</v>
      </c>
      <c r="C118" s="64" t="s">
        <v>17</v>
      </c>
      <c r="D118" s="64" t="s">
        <v>3</v>
      </c>
      <c r="E118" s="64" t="s">
        <v>3</v>
      </c>
      <c r="F118" s="65">
        <f>F119</f>
        <v>1287842.44</v>
      </c>
      <c r="G118" s="65">
        <f>G119</f>
        <v>1287842.44</v>
      </c>
      <c r="I118" s="80">
        <v>1511317.41</v>
      </c>
      <c r="J118" s="80">
        <v>1511317.41</v>
      </c>
      <c r="L118" s="80">
        <f t="shared" si="4"/>
        <v>223474.96999999997</v>
      </c>
      <c r="M118" s="80">
        <f t="shared" si="5"/>
        <v>223474.96999999997</v>
      </c>
    </row>
    <row r="119" spans="1:13" ht="15.75" outlineLevel="5">
      <c r="A119" s="63" t="s">
        <v>684</v>
      </c>
      <c r="B119" s="64" t="s">
        <v>393</v>
      </c>
      <c r="C119" s="64" t="s">
        <v>17</v>
      </c>
      <c r="D119" s="64" t="s">
        <v>187</v>
      </c>
      <c r="E119" s="64" t="s">
        <v>22</v>
      </c>
      <c r="F119" s="65">
        <f>Приложение_6!F928</f>
        <v>1287842.44</v>
      </c>
      <c r="G119" s="65">
        <f>F119</f>
        <v>1287842.44</v>
      </c>
      <c r="I119" s="80">
        <v>1511317.41</v>
      </c>
      <c r="J119" s="80">
        <v>1511317.41</v>
      </c>
      <c r="L119" s="80">
        <f t="shared" si="4"/>
        <v>223474.96999999997</v>
      </c>
      <c r="M119" s="80">
        <f t="shared" si="5"/>
        <v>223474.96999999997</v>
      </c>
    </row>
    <row r="120" spans="1:13" ht="283.5" customHeight="1" outlineLevel="2">
      <c r="A120" s="63" t="s">
        <v>597</v>
      </c>
      <c r="B120" s="64" t="s">
        <v>377</v>
      </c>
      <c r="C120" s="64" t="s">
        <v>1</v>
      </c>
      <c r="D120" s="64" t="s">
        <v>3</v>
      </c>
      <c r="E120" s="64" t="s">
        <v>3</v>
      </c>
      <c r="F120" s="65">
        <f>F121</f>
        <v>147100</v>
      </c>
      <c r="G120" s="65">
        <f>G123</f>
        <v>147100</v>
      </c>
      <c r="I120" s="80">
        <v>147100</v>
      </c>
      <c r="J120" s="80">
        <v>147100</v>
      </c>
      <c r="L120" s="80">
        <f t="shared" si="4"/>
        <v>0</v>
      </c>
      <c r="M120" s="80">
        <f t="shared" si="5"/>
        <v>0</v>
      </c>
    </row>
    <row r="121" spans="1:13" ht="283.5" customHeight="1" outlineLevel="3">
      <c r="A121" s="63" t="s">
        <v>475</v>
      </c>
      <c r="B121" s="64" t="s">
        <v>378</v>
      </c>
      <c r="C121" s="64" t="s">
        <v>1</v>
      </c>
      <c r="D121" s="64" t="s">
        <v>3</v>
      </c>
      <c r="E121" s="64" t="s">
        <v>3</v>
      </c>
      <c r="F121" s="65">
        <f>F122</f>
        <v>147100</v>
      </c>
      <c r="G121" s="65">
        <f>G122</f>
        <v>147100</v>
      </c>
      <c r="I121" s="80">
        <v>147100</v>
      </c>
      <c r="J121" s="80">
        <v>147100</v>
      </c>
      <c r="L121" s="80">
        <f t="shared" si="4"/>
        <v>0</v>
      </c>
      <c r="M121" s="80">
        <f t="shared" si="5"/>
        <v>0</v>
      </c>
    </row>
    <row r="122" spans="1:13" ht="31.5" outlineLevel="4">
      <c r="A122" s="63" t="s">
        <v>690</v>
      </c>
      <c r="B122" s="64" t="s">
        <v>378</v>
      </c>
      <c r="C122" s="64" t="s">
        <v>47</v>
      </c>
      <c r="D122" s="64" t="s">
        <v>3</v>
      </c>
      <c r="E122" s="64" t="s">
        <v>3</v>
      </c>
      <c r="F122" s="65">
        <f>F123</f>
        <v>147100</v>
      </c>
      <c r="G122" s="65">
        <f>G123</f>
        <v>147100</v>
      </c>
      <c r="I122" s="80">
        <v>147100</v>
      </c>
      <c r="J122" s="80">
        <v>147100</v>
      </c>
      <c r="L122" s="80">
        <f t="shared" si="4"/>
        <v>0</v>
      </c>
      <c r="M122" s="80">
        <f t="shared" si="5"/>
        <v>0</v>
      </c>
    </row>
    <row r="123" spans="1:13" ht="31.5" outlineLevel="5">
      <c r="A123" s="63" t="s">
        <v>683</v>
      </c>
      <c r="B123" s="64" t="s">
        <v>378</v>
      </c>
      <c r="C123" s="64" t="s">
        <v>47</v>
      </c>
      <c r="D123" s="64" t="s">
        <v>187</v>
      </c>
      <c r="E123" s="64" t="s">
        <v>14</v>
      </c>
      <c r="F123" s="65">
        <f>Приложение_6!F892</f>
        <v>147100</v>
      </c>
      <c r="G123" s="65">
        <f>F123</f>
        <v>147100</v>
      </c>
      <c r="I123" s="80">
        <v>147100</v>
      </c>
      <c r="J123" s="80">
        <v>147100</v>
      </c>
      <c r="L123" s="80">
        <f t="shared" si="4"/>
        <v>0</v>
      </c>
      <c r="M123" s="80">
        <f t="shared" si="5"/>
        <v>0</v>
      </c>
    </row>
    <row r="124" spans="1:13" ht="157.5" outlineLevel="2">
      <c r="A124" s="63" t="s">
        <v>598</v>
      </c>
      <c r="B124" s="64" t="s">
        <v>379</v>
      </c>
      <c r="C124" s="64" t="s">
        <v>1</v>
      </c>
      <c r="D124" s="64" t="s">
        <v>3</v>
      </c>
      <c r="E124" s="64" t="s">
        <v>3</v>
      </c>
      <c r="F124" s="65">
        <f>F125+F128</f>
        <v>1869400</v>
      </c>
      <c r="G124" s="65">
        <f>G125+G128</f>
        <v>1869400</v>
      </c>
      <c r="I124" s="80">
        <v>1869400</v>
      </c>
      <c r="J124" s="80">
        <v>1869400</v>
      </c>
      <c r="L124" s="80">
        <f t="shared" si="4"/>
        <v>0</v>
      </c>
      <c r="M124" s="80">
        <f t="shared" si="5"/>
        <v>0</v>
      </c>
    </row>
    <row r="125" spans="1:13" ht="141.75" customHeight="1" outlineLevel="3">
      <c r="A125" s="63" t="s">
        <v>476</v>
      </c>
      <c r="B125" s="64" t="s">
        <v>380</v>
      </c>
      <c r="C125" s="64" t="s">
        <v>1</v>
      </c>
      <c r="D125" s="64" t="s">
        <v>3</v>
      </c>
      <c r="E125" s="64" t="s">
        <v>3</v>
      </c>
      <c r="F125" s="65">
        <f>F126</f>
        <v>1847600</v>
      </c>
      <c r="G125" s="65">
        <f>G126</f>
        <v>1847600</v>
      </c>
      <c r="I125" s="80">
        <v>1847600</v>
      </c>
      <c r="J125" s="80">
        <v>1847600</v>
      </c>
      <c r="L125" s="80">
        <f t="shared" si="4"/>
        <v>0</v>
      </c>
      <c r="M125" s="80">
        <f t="shared" si="5"/>
        <v>0</v>
      </c>
    </row>
    <row r="126" spans="1:13" ht="31.5" outlineLevel="4">
      <c r="A126" s="63" t="s">
        <v>690</v>
      </c>
      <c r="B126" s="64" t="s">
        <v>380</v>
      </c>
      <c r="C126" s="64" t="s">
        <v>47</v>
      </c>
      <c r="D126" s="64" t="s">
        <v>3</v>
      </c>
      <c r="E126" s="64" t="s">
        <v>3</v>
      </c>
      <c r="F126" s="65">
        <f>F127</f>
        <v>1847600</v>
      </c>
      <c r="G126" s="65">
        <f>G127</f>
        <v>1847600</v>
      </c>
      <c r="I126" s="80">
        <v>1847600</v>
      </c>
      <c r="J126" s="80">
        <v>1847600</v>
      </c>
      <c r="L126" s="80">
        <f t="shared" si="4"/>
        <v>0</v>
      </c>
      <c r="M126" s="80">
        <f t="shared" si="5"/>
        <v>0</v>
      </c>
    </row>
    <row r="127" spans="1:13" ht="31.5" outlineLevel="5">
      <c r="A127" s="63" t="s">
        <v>683</v>
      </c>
      <c r="B127" s="64" t="s">
        <v>380</v>
      </c>
      <c r="C127" s="64" t="s">
        <v>47</v>
      </c>
      <c r="D127" s="64" t="s">
        <v>187</v>
      </c>
      <c r="E127" s="64" t="s">
        <v>14</v>
      </c>
      <c r="F127" s="65">
        <f>Приложение_6!F895</f>
        <v>1847600</v>
      </c>
      <c r="G127" s="65">
        <f>F127</f>
        <v>1847600</v>
      </c>
      <c r="I127" s="80">
        <v>1847600</v>
      </c>
      <c r="J127" s="80">
        <v>1847600</v>
      </c>
      <c r="L127" s="80">
        <f t="shared" si="4"/>
        <v>0</v>
      </c>
      <c r="M127" s="80">
        <f t="shared" si="5"/>
        <v>0</v>
      </c>
    </row>
    <row r="128" spans="1:13" ht="157.5" outlineLevel="3">
      <c r="A128" s="63" t="s">
        <v>477</v>
      </c>
      <c r="B128" s="64" t="s">
        <v>381</v>
      </c>
      <c r="C128" s="64" t="s">
        <v>1</v>
      </c>
      <c r="D128" s="64" t="s">
        <v>3</v>
      </c>
      <c r="E128" s="64" t="s">
        <v>3</v>
      </c>
      <c r="F128" s="65">
        <f>F129</f>
        <v>21800</v>
      </c>
      <c r="G128" s="65">
        <f>G129</f>
        <v>21800</v>
      </c>
      <c r="I128" s="80">
        <v>21800</v>
      </c>
      <c r="J128" s="80">
        <v>21800</v>
      </c>
      <c r="L128" s="80">
        <f t="shared" si="4"/>
        <v>0</v>
      </c>
      <c r="M128" s="80">
        <f t="shared" si="5"/>
        <v>0</v>
      </c>
    </row>
    <row r="129" spans="1:13" ht="141.75" outlineLevel="4">
      <c r="A129" s="63" t="s">
        <v>856</v>
      </c>
      <c r="B129" s="64" t="s">
        <v>381</v>
      </c>
      <c r="C129" s="64" t="s">
        <v>10</v>
      </c>
      <c r="D129" s="64" t="s">
        <v>3</v>
      </c>
      <c r="E129" s="64" t="s">
        <v>3</v>
      </c>
      <c r="F129" s="65">
        <f>F130</f>
        <v>21800</v>
      </c>
      <c r="G129" s="65">
        <f>G130</f>
        <v>21800</v>
      </c>
      <c r="I129" s="80">
        <v>21800</v>
      </c>
      <c r="J129" s="80">
        <v>21800</v>
      </c>
      <c r="L129" s="80">
        <f t="shared" si="4"/>
        <v>0</v>
      </c>
      <c r="M129" s="80">
        <f t="shared" si="5"/>
        <v>0</v>
      </c>
    </row>
    <row r="130" spans="1:13" ht="31.5" outlineLevel="5">
      <c r="A130" s="63" t="s">
        <v>683</v>
      </c>
      <c r="B130" s="64" t="s">
        <v>381</v>
      </c>
      <c r="C130" s="64" t="s">
        <v>10</v>
      </c>
      <c r="D130" s="64" t="s">
        <v>187</v>
      </c>
      <c r="E130" s="64" t="s">
        <v>14</v>
      </c>
      <c r="F130" s="65">
        <f>Приложение_6!F897</f>
        <v>21800</v>
      </c>
      <c r="G130" s="65">
        <f>F130</f>
        <v>21800</v>
      </c>
      <c r="I130" s="80">
        <v>21800</v>
      </c>
      <c r="J130" s="80">
        <v>21800</v>
      </c>
      <c r="L130" s="80">
        <f t="shared" si="4"/>
        <v>0</v>
      </c>
      <c r="M130" s="80">
        <f t="shared" si="5"/>
        <v>0</v>
      </c>
    </row>
    <row r="131" spans="1:13" ht="189" outlineLevel="2">
      <c r="A131" s="63" t="s">
        <v>599</v>
      </c>
      <c r="B131" s="64" t="s">
        <v>382</v>
      </c>
      <c r="C131" s="64" t="s">
        <v>1</v>
      </c>
      <c r="D131" s="64" t="s">
        <v>3</v>
      </c>
      <c r="E131" s="64" t="s">
        <v>3</v>
      </c>
      <c r="F131" s="65">
        <f aca="true" t="shared" si="6" ref="F131:G133">F132</f>
        <v>314000</v>
      </c>
      <c r="G131" s="65">
        <f t="shared" si="6"/>
        <v>314000</v>
      </c>
      <c r="I131" s="80">
        <v>314000</v>
      </c>
      <c r="J131" s="80">
        <v>314000</v>
      </c>
      <c r="L131" s="80">
        <f t="shared" si="4"/>
        <v>0</v>
      </c>
      <c r="M131" s="80">
        <f t="shared" si="5"/>
        <v>0</v>
      </c>
    </row>
    <row r="132" spans="1:13" ht="283.5" outlineLevel="3">
      <c r="A132" s="63" t="s">
        <v>478</v>
      </c>
      <c r="B132" s="64" t="s">
        <v>383</v>
      </c>
      <c r="C132" s="64" t="s">
        <v>1</v>
      </c>
      <c r="D132" s="64" t="s">
        <v>3</v>
      </c>
      <c r="E132" s="64" t="s">
        <v>3</v>
      </c>
      <c r="F132" s="65">
        <f t="shared" si="6"/>
        <v>314000</v>
      </c>
      <c r="G132" s="65">
        <f t="shared" si="6"/>
        <v>314000</v>
      </c>
      <c r="I132" s="80">
        <v>314000</v>
      </c>
      <c r="J132" s="80">
        <v>314000</v>
      </c>
      <c r="L132" s="80">
        <f t="shared" si="4"/>
        <v>0</v>
      </c>
      <c r="M132" s="80">
        <f t="shared" si="5"/>
        <v>0</v>
      </c>
    </row>
    <row r="133" spans="1:13" ht="31.5" outlineLevel="4">
      <c r="A133" s="63" t="s">
        <v>690</v>
      </c>
      <c r="B133" s="64" t="s">
        <v>383</v>
      </c>
      <c r="C133" s="64" t="s">
        <v>47</v>
      </c>
      <c r="D133" s="64" t="s">
        <v>3</v>
      </c>
      <c r="E133" s="64" t="s">
        <v>3</v>
      </c>
      <c r="F133" s="65">
        <f t="shared" si="6"/>
        <v>314000</v>
      </c>
      <c r="G133" s="65">
        <f t="shared" si="6"/>
        <v>314000</v>
      </c>
      <c r="I133" s="80">
        <v>314000</v>
      </c>
      <c r="J133" s="80">
        <v>314000</v>
      </c>
      <c r="L133" s="80">
        <f t="shared" si="4"/>
        <v>0</v>
      </c>
      <c r="M133" s="80">
        <f t="shared" si="5"/>
        <v>0</v>
      </c>
    </row>
    <row r="134" spans="1:13" ht="31.5" outlineLevel="5">
      <c r="A134" s="63" t="s">
        <v>683</v>
      </c>
      <c r="B134" s="64" t="s">
        <v>383</v>
      </c>
      <c r="C134" s="64" t="s">
        <v>47</v>
      </c>
      <c r="D134" s="64" t="s">
        <v>187</v>
      </c>
      <c r="E134" s="64" t="s">
        <v>14</v>
      </c>
      <c r="F134" s="65">
        <f>Приложение_6!F900</f>
        <v>314000</v>
      </c>
      <c r="G134" s="65">
        <f>F134</f>
        <v>314000</v>
      </c>
      <c r="I134" s="80">
        <v>314000</v>
      </c>
      <c r="J134" s="80">
        <v>314000</v>
      </c>
      <c r="L134" s="80">
        <f t="shared" si="4"/>
        <v>0</v>
      </c>
      <c r="M134" s="80">
        <f t="shared" si="5"/>
        <v>0</v>
      </c>
    </row>
    <row r="135" spans="1:13" ht="110.25" outlineLevel="2">
      <c r="A135" s="63" t="s">
        <v>601</v>
      </c>
      <c r="B135" s="64" t="s">
        <v>394</v>
      </c>
      <c r="C135" s="64" t="s">
        <v>1</v>
      </c>
      <c r="D135" s="64" t="s">
        <v>3</v>
      </c>
      <c r="E135" s="64" t="s">
        <v>3</v>
      </c>
      <c r="F135" s="65">
        <f aca="true" t="shared" si="7" ref="F135:G137">F136</f>
        <v>756100</v>
      </c>
      <c r="G135" s="65">
        <f t="shared" si="7"/>
        <v>756100</v>
      </c>
      <c r="I135" s="80">
        <v>756100</v>
      </c>
      <c r="J135" s="80">
        <v>756100</v>
      </c>
      <c r="L135" s="80">
        <f t="shared" si="4"/>
        <v>0</v>
      </c>
      <c r="M135" s="80">
        <f t="shared" si="5"/>
        <v>0</v>
      </c>
    </row>
    <row r="136" spans="1:13" ht="173.25" outlineLevel="3">
      <c r="A136" s="63" t="s">
        <v>482</v>
      </c>
      <c r="B136" s="64" t="s">
        <v>395</v>
      </c>
      <c r="C136" s="64" t="s">
        <v>1</v>
      </c>
      <c r="D136" s="64" t="s">
        <v>3</v>
      </c>
      <c r="E136" s="64" t="s">
        <v>3</v>
      </c>
      <c r="F136" s="65">
        <f t="shared" si="7"/>
        <v>756100</v>
      </c>
      <c r="G136" s="65">
        <f t="shared" si="7"/>
        <v>756100</v>
      </c>
      <c r="I136" s="80">
        <v>756100</v>
      </c>
      <c r="J136" s="80">
        <v>756100</v>
      </c>
      <c r="L136" s="80">
        <f t="shared" si="4"/>
        <v>0</v>
      </c>
      <c r="M136" s="80">
        <f t="shared" si="5"/>
        <v>0</v>
      </c>
    </row>
    <row r="137" spans="1:13" ht="31.5" outlineLevel="4">
      <c r="A137" s="63" t="s">
        <v>690</v>
      </c>
      <c r="B137" s="64" t="s">
        <v>395</v>
      </c>
      <c r="C137" s="64" t="s">
        <v>47</v>
      </c>
      <c r="D137" s="64" t="s">
        <v>3</v>
      </c>
      <c r="E137" s="64" t="s">
        <v>3</v>
      </c>
      <c r="F137" s="65">
        <f t="shared" si="7"/>
        <v>756100</v>
      </c>
      <c r="G137" s="65">
        <f t="shared" si="7"/>
        <v>756100</v>
      </c>
      <c r="I137" s="80">
        <v>756100</v>
      </c>
      <c r="J137" s="80">
        <v>756100</v>
      </c>
      <c r="L137" s="80">
        <f t="shared" si="4"/>
        <v>0</v>
      </c>
      <c r="M137" s="80">
        <f t="shared" si="5"/>
        <v>0</v>
      </c>
    </row>
    <row r="138" spans="1:13" ht="15.75" outlineLevel="5">
      <c r="A138" s="63" t="s">
        <v>684</v>
      </c>
      <c r="B138" s="64" t="s">
        <v>395</v>
      </c>
      <c r="C138" s="64" t="s">
        <v>47</v>
      </c>
      <c r="D138" s="64" t="s">
        <v>187</v>
      </c>
      <c r="E138" s="64" t="s">
        <v>22</v>
      </c>
      <c r="F138" s="65">
        <f>Приложение_6!F931</f>
        <v>756100</v>
      </c>
      <c r="G138" s="65">
        <f>F138</f>
        <v>756100</v>
      </c>
      <c r="I138" s="80">
        <v>756100</v>
      </c>
      <c r="J138" s="80">
        <v>756100</v>
      </c>
      <c r="L138" s="80">
        <f t="shared" si="4"/>
        <v>0</v>
      </c>
      <c r="M138" s="80">
        <f t="shared" si="5"/>
        <v>0</v>
      </c>
    </row>
    <row r="139" spans="1:13" ht="94.5" outlineLevel="2">
      <c r="A139" s="63" t="s">
        <v>602</v>
      </c>
      <c r="B139" s="64" t="s">
        <v>396</v>
      </c>
      <c r="C139" s="64" t="s">
        <v>1</v>
      </c>
      <c r="D139" s="64" t="s">
        <v>3</v>
      </c>
      <c r="E139" s="64" t="s">
        <v>3</v>
      </c>
      <c r="F139" s="65">
        <f aca="true" t="shared" si="8" ref="F139:G141">F140</f>
        <v>33397200</v>
      </c>
      <c r="G139" s="65">
        <f t="shared" si="8"/>
        <v>33397200</v>
      </c>
      <c r="I139" s="80">
        <v>33397200</v>
      </c>
      <c r="J139" s="80">
        <v>33397200</v>
      </c>
      <c r="L139" s="80">
        <f t="shared" si="4"/>
        <v>0</v>
      </c>
      <c r="M139" s="80">
        <f t="shared" si="5"/>
        <v>0</v>
      </c>
    </row>
    <row r="140" spans="1:13" ht="110.25" outlineLevel="3">
      <c r="A140" s="63" t="s">
        <v>483</v>
      </c>
      <c r="B140" s="64" t="s">
        <v>397</v>
      </c>
      <c r="C140" s="64" t="s">
        <v>1</v>
      </c>
      <c r="D140" s="64" t="s">
        <v>3</v>
      </c>
      <c r="E140" s="64" t="s">
        <v>3</v>
      </c>
      <c r="F140" s="65">
        <f t="shared" si="8"/>
        <v>33397200</v>
      </c>
      <c r="G140" s="65">
        <f t="shared" si="8"/>
        <v>33397200</v>
      </c>
      <c r="I140" s="80">
        <v>33397200</v>
      </c>
      <c r="J140" s="80">
        <v>33397200</v>
      </c>
      <c r="L140" s="80">
        <f t="shared" si="4"/>
        <v>0</v>
      </c>
      <c r="M140" s="80">
        <f t="shared" si="5"/>
        <v>0</v>
      </c>
    </row>
    <row r="141" spans="1:13" ht="31.5" outlineLevel="4">
      <c r="A141" s="63" t="s">
        <v>690</v>
      </c>
      <c r="B141" s="64" t="s">
        <v>397</v>
      </c>
      <c r="C141" s="64" t="s">
        <v>47</v>
      </c>
      <c r="D141" s="64" t="s">
        <v>3</v>
      </c>
      <c r="E141" s="64" t="s">
        <v>3</v>
      </c>
      <c r="F141" s="65">
        <f t="shared" si="8"/>
        <v>33397200</v>
      </c>
      <c r="G141" s="65">
        <f t="shared" si="8"/>
        <v>33397200</v>
      </c>
      <c r="I141" s="80">
        <v>33397200</v>
      </c>
      <c r="J141" s="80">
        <v>33397200</v>
      </c>
      <c r="L141" s="80">
        <f t="shared" si="4"/>
        <v>0</v>
      </c>
      <c r="M141" s="80">
        <f t="shared" si="5"/>
        <v>0</v>
      </c>
    </row>
    <row r="142" spans="1:13" ht="15.75" outlineLevel="5">
      <c r="A142" s="63" t="s">
        <v>684</v>
      </c>
      <c r="B142" s="64" t="s">
        <v>397</v>
      </c>
      <c r="C142" s="64" t="s">
        <v>47</v>
      </c>
      <c r="D142" s="64" t="s">
        <v>187</v>
      </c>
      <c r="E142" s="64" t="s">
        <v>22</v>
      </c>
      <c r="F142" s="65">
        <f>Приложение_6!F934</f>
        <v>33397200</v>
      </c>
      <c r="G142" s="65">
        <f>F142</f>
        <v>33397200</v>
      </c>
      <c r="I142" s="80">
        <v>33397200</v>
      </c>
      <c r="J142" s="80">
        <v>33397200</v>
      </c>
      <c r="L142" s="80">
        <f aca="true" t="shared" si="9" ref="L142:L215">I142-F142</f>
        <v>0</v>
      </c>
      <c r="M142" s="80">
        <f aca="true" t="shared" si="10" ref="M142:M215">J142-G142</f>
        <v>0</v>
      </c>
    </row>
    <row r="143" spans="1:13" ht="189" outlineLevel="2">
      <c r="A143" s="63" t="s">
        <v>493</v>
      </c>
      <c r="B143" s="64" t="s">
        <v>30</v>
      </c>
      <c r="C143" s="64" t="s">
        <v>1</v>
      </c>
      <c r="D143" s="64" t="s">
        <v>3</v>
      </c>
      <c r="E143" s="64" t="s">
        <v>3</v>
      </c>
      <c r="F143" s="65">
        <f>F144+F147+F150</f>
        <v>6074534.6</v>
      </c>
      <c r="G143" s="65"/>
      <c r="I143" s="80">
        <v>5902579.31</v>
      </c>
      <c r="L143" s="80">
        <f t="shared" si="9"/>
        <v>-171955.29000000004</v>
      </c>
      <c r="M143" s="80">
        <f t="shared" si="10"/>
        <v>0</v>
      </c>
    </row>
    <row r="144" spans="1:13" ht="63" outlineLevel="3">
      <c r="A144" s="63" t="s">
        <v>434</v>
      </c>
      <c r="B144" s="64" t="s">
        <v>31</v>
      </c>
      <c r="C144" s="64" t="s">
        <v>1</v>
      </c>
      <c r="D144" s="64" t="s">
        <v>3</v>
      </c>
      <c r="E144" s="64" t="s">
        <v>3</v>
      </c>
      <c r="F144" s="65">
        <f>F145</f>
        <v>5934097.8</v>
      </c>
      <c r="G144" s="65"/>
      <c r="I144" s="80">
        <v>5841197.31</v>
      </c>
      <c r="L144" s="80">
        <f t="shared" si="9"/>
        <v>-92900.49000000022</v>
      </c>
      <c r="M144" s="80">
        <f t="shared" si="10"/>
        <v>0</v>
      </c>
    </row>
    <row r="145" spans="1:13" ht="141.75" outlineLevel="4">
      <c r="A145" s="63" t="s">
        <v>856</v>
      </c>
      <c r="B145" s="64" t="s">
        <v>31</v>
      </c>
      <c r="C145" s="64" t="s">
        <v>10</v>
      </c>
      <c r="D145" s="64" t="s">
        <v>3</v>
      </c>
      <c r="E145" s="64" t="s">
        <v>3</v>
      </c>
      <c r="F145" s="65">
        <f>F146</f>
        <v>5934097.8</v>
      </c>
      <c r="G145" s="65"/>
      <c r="I145" s="80">
        <v>5841197.31</v>
      </c>
      <c r="L145" s="80">
        <f t="shared" si="9"/>
        <v>-92900.49000000022</v>
      </c>
      <c r="M145" s="80">
        <f t="shared" si="10"/>
        <v>0</v>
      </c>
    </row>
    <row r="146" spans="1:13" ht="126" outlineLevel="5">
      <c r="A146" s="63" t="s">
        <v>661</v>
      </c>
      <c r="B146" s="64" t="s">
        <v>31</v>
      </c>
      <c r="C146" s="64" t="s">
        <v>10</v>
      </c>
      <c r="D146" s="64" t="s">
        <v>2</v>
      </c>
      <c r="E146" s="64" t="s">
        <v>22</v>
      </c>
      <c r="F146" s="65">
        <f>Приложение_6!F62</f>
        <v>5934097.8</v>
      </c>
      <c r="G146" s="65"/>
      <c r="I146" s="80">
        <v>5841197.31</v>
      </c>
      <c r="L146" s="80">
        <f t="shared" si="9"/>
        <v>-92900.49000000022</v>
      </c>
      <c r="M146" s="80">
        <f t="shared" si="10"/>
        <v>0</v>
      </c>
    </row>
    <row r="147" spans="1:13" ht="47.25" outlineLevel="3">
      <c r="A147" s="63" t="s">
        <v>430</v>
      </c>
      <c r="B147" s="64" t="s">
        <v>32</v>
      </c>
      <c r="C147" s="64" t="s">
        <v>1</v>
      </c>
      <c r="D147" s="64" t="s">
        <v>3</v>
      </c>
      <c r="E147" s="64" t="s">
        <v>3</v>
      </c>
      <c r="F147" s="65">
        <f>F148</f>
        <v>900</v>
      </c>
      <c r="G147" s="65"/>
      <c r="I147" s="76">
        <v>900</v>
      </c>
      <c r="L147" s="80">
        <f t="shared" si="9"/>
        <v>0</v>
      </c>
      <c r="M147" s="80">
        <f t="shared" si="10"/>
        <v>0</v>
      </c>
    </row>
    <row r="148" spans="1:13" ht="141.75" outlineLevel="4">
      <c r="A148" s="63" t="s">
        <v>856</v>
      </c>
      <c r="B148" s="64" t="s">
        <v>32</v>
      </c>
      <c r="C148" s="64" t="s">
        <v>10</v>
      </c>
      <c r="D148" s="64" t="s">
        <v>3</v>
      </c>
      <c r="E148" s="64" t="s">
        <v>3</v>
      </c>
      <c r="F148" s="65">
        <f>F149</f>
        <v>900</v>
      </c>
      <c r="G148" s="65"/>
      <c r="I148" s="76">
        <v>900</v>
      </c>
      <c r="L148" s="80">
        <f t="shared" si="9"/>
        <v>0</v>
      </c>
      <c r="M148" s="80">
        <f t="shared" si="10"/>
        <v>0</v>
      </c>
    </row>
    <row r="149" spans="1:13" ht="126" outlineLevel="5">
      <c r="A149" s="63" t="s">
        <v>661</v>
      </c>
      <c r="B149" s="64" t="s">
        <v>32</v>
      </c>
      <c r="C149" s="64" t="s">
        <v>10</v>
      </c>
      <c r="D149" s="64" t="s">
        <v>2</v>
      </c>
      <c r="E149" s="64" t="s">
        <v>22</v>
      </c>
      <c r="F149" s="65">
        <f>Приложение_6!F64</f>
        <v>900</v>
      </c>
      <c r="G149" s="65"/>
      <c r="I149" s="76">
        <v>900</v>
      </c>
      <c r="L149" s="80">
        <f t="shared" si="9"/>
        <v>0</v>
      </c>
      <c r="M149" s="80">
        <f t="shared" si="10"/>
        <v>0</v>
      </c>
    </row>
    <row r="150" spans="1:13" ht="126" outlineLevel="3">
      <c r="A150" s="63" t="s">
        <v>432</v>
      </c>
      <c r="B150" s="64" t="s">
        <v>33</v>
      </c>
      <c r="C150" s="64" t="s">
        <v>1</v>
      </c>
      <c r="D150" s="64" t="s">
        <v>3</v>
      </c>
      <c r="E150" s="64" t="s">
        <v>3</v>
      </c>
      <c r="F150" s="65">
        <f>F151</f>
        <v>139536.8</v>
      </c>
      <c r="G150" s="65"/>
      <c r="I150" s="80">
        <v>60482</v>
      </c>
      <c r="L150" s="80">
        <f t="shared" si="9"/>
        <v>-79054.79999999999</v>
      </c>
      <c r="M150" s="80">
        <f t="shared" si="10"/>
        <v>0</v>
      </c>
    </row>
    <row r="151" spans="1:13" ht="141.75" outlineLevel="4">
      <c r="A151" s="63" t="s">
        <v>856</v>
      </c>
      <c r="B151" s="64" t="s">
        <v>33</v>
      </c>
      <c r="C151" s="64" t="s">
        <v>10</v>
      </c>
      <c r="D151" s="64" t="s">
        <v>3</v>
      </c>
      <c r="E151" s="64" t="s">
        <v>3</v>
      </c>
      <c r="F151" s="65">
        <f>F152</f>
        <v>139536.8</v>
      </c>
      <c r="G151" s="65"/>
      <c r="I151" s="80">
        <v>60482</v>
      </c>
      <c r="L151" s="80">
        <f t="shared" si="9"/>
        <v>-79054.79999999999</v>
      </c>
      <c r="M151" s="80">
        <f t="shared" si="10"/>
        <v>0</v>
      </c>
    </row>
    <row r="152" spans="1:13" ht="126" outlineLevel="5">
      <c r="A152" s="63" t="s">
        <v>661</v>
      </c>
      <c r="B152" s="64" t="s">
        <v>33</v>
      </c>
      <c r="C152" s="64" t="s">
        <v>10</v>
      </c>
      <c r="D152" s="64" t="s">
        <v>2</v>
      </c>
      <c r="E152" s="64" t="s">
        <v>22</v>
      </c>
      <c r="F152" s="65">
        <f>Приложение_6!F66</f>
        <v>139536.8</v>
      </c>
      <c r="G152" s="65"/>
      <c r="I152" s="80">
        <v>60482</v>
      </c>
      <c r="L152" s="80">
        <f t="shared" si="9"/>
        <v>-79054.79999999999</v>
      </c>
      <c r="M152" s="80">
        <f t="shared" si="10"/>
        <v>0</v>
      </c>
    </row>
    <row r="153" spans="1:13" ht="267.75" outlineLevel="2">
      <c r="A153" s="63" t="s">
        <v>494</v>
      </c>
      <c r="B153" s="64" t="s">
        <v>34</v>
      </c>
      <c r="C153" s="64" t="s">
        <v>1</v>
      </c>
      <c r="D153" s="64" t="s">
        <v>3</v>
      </c>
      <c r="E153" s="64" t="s">
        <v>3</v>
      </c>
      <c r="F153" s="65">
        <f>F154+F157+F160</f>
        <v>7019942.229999999</v>
      </c>
      <c r="G153" s="65"/>
      <c r="I153" s="80">
        <v>7075865.27</v>
      </c>
      <c r="L153" s="80">
        <f t="shared" si="9"/>
        <v>55923.04000000097</v>
      </c>
      <c r="M153" s="80">
        <f t="shared" si="10"/>
        <v>0</v>
      </c>
    </row>
    <row r="154" spans="1:13" ht="63" outlineLevel="3">
      <c r="A154" s="63" t="s">
        <v>434</v>
      </c>
      <c r="B154" s="64" t="s">
        <v>35</v>
      </c>
      <c r="C154" s="64" t="s">
        <v>1</v>
      </c>
      <c r="D154" s="64" t="s">
        <v>3</v>
      </c>
      <c r="E154" s="64" t="s">
        <v>3</v>
      </c>
      <c r="F154" s="65">
        <f>F155</f>
        <v>6884130.259999999</v>
      </c>
      <c r="G154" s="65"/>
      <c r="I154" s="80">
        <v>7012233.27</v>
      </c>
      <c r="L154" s="80">
        <f t="shared" si="9"/>
        <v>128103.01000000071</v>
      </c>
      <c r="M154" s="80">
        <f t="shared" si="10"/>
        <v>0</v>
      </c>
    </row>
    <row r="155" spans="1:13" ht="141.75" outlineLevel="4">
      <c r="A155" s="63" t="s">
        <v>856</v>
      </c>
      <c r="B155" s="64" t="s">
        <v>35</v>
      </c>
      <c r="C155" s="64" t="s">
        <v>10</v>
      </c>
      <c r="D155" s="64" t="s">
        <v>3</v>
      </c>
      <c r="E155" s="64" t="s">
        <v>3</v>
      </c>
      <c r="F155" s="65">
        <f>F156</f>
        <v>6884130.259999999</v>
      </c>
      <c r="G155" s="65"/>
      <c r="I155" s="80">
        <v>7012233.27</v>
      </c>
      <c r="L155" s="80">
        <f t="shared" si="9"/>
        <v>128103.01000000071</v>
      </c>
      <c r="M155" s="80">
        <f t="shared" si="10"/>
        <v>0</v>
      </c>
    </row>
    <row r="156" spans="1:13" ht="126" outlineLevel="5">
      <c r="A156" s="63" t="s">
        <v>661</v>
      </c>
      <c r="B156" s="64" t="s">
        <v>35</v>
      </c>
      <c r="C156" s="64" t="s">
        <v>10</v>
      </c>
      <c r="D156" s="64" t="s">
        <v>2</v>
      </c>
      <c r="E156" s="64" t="s">
        <v>22</v>
      </c>
      <c r="F156" s="65">
        <f>Приложение_6!F69</f>
        <v>6884130.259999999</v>
      </c>
      <c r="G156" s="65"/>
      <c r="I156" s="80">
        <v>7012233.27</v>
      </c>
      <c r="L156" s="80">
        <f t="shared" si="9"/>
        <v>128103.01000000071</v>
      </c>
      <c r="M156" s="80">
        <f t="shared" si="10"/>
        <v>0</v>
      </c>
    </row>
    <row r="157" spans="1:13" ht="47.25" outlineLevel="3">
      <c r="A157" s="63" t="s">
        <v>430</v>
      </c>
      <c r="B157" s="64" t="s">
        <v>36</v>
      </c>
      <c r="C157" s="64" t="s">
        <v>1</v>
      </c>
      <c r="D157" s="64" t="s">
        <v>3</v>
      </c>
      <c r="E157" s="64" t="s">
        <v>3</v>
      </c>
      <c r="F157" s="65">
        <f>F158</f>
        <v>975</v>
      </c>
      <c r="G157" s="65"/>
      <c r="I157" s="80">
        <v>2250</v>
      </c>
      <c r="L157" s="80">
        <f t="shared" si="9"/>
        <v>1275</v>
      </c>
      <c r="M157" s="80">
        <f t="shared" si="10"/>
        <v>0</v>
      </c>
    </row>
    <row r="158" spans="1:13" ht="141.75" outlineLevel="4">
      <c r="A158" s="63" t="s">
        <v>856</v>
      </c>
      <c r="B158" s="64" t="s">
        <v>36</v>
      </c>
      <c r="C158" s="64" t="s">
        <v>10</v>
      </c>
      <c r="D158" s="64" t="s">
        <v>3</v>
      </c>
      <c r="E158" s="64" t="s">
        <v>3</v>
      </c>
      <c r="F158" s="65">
        <f>F159</f>
        <v>975</v>
      </c>
      <c r="G158" s="65"/>
      <c r="I158" s="80">
        <v>2250</v>
      </c>
      <c r="L158" s="80">
        <f t="shared" si="9"/>
        <v>1275</v>
      </c>
      <c r="M158" s="80">
        <f t="shared" si="10"/>
        <v>0</v>
      </c>
    </row>
    <row r="159" spans="1:13" ht="126" outlineLevel="5">
      <c r="A159" s="63" t="s">
        <v>661</v>
      </c>
      <c r="B159" s="64" t="s">
        <v>36</v>
      </c>
      <c r="C159" s="64" t="s">
        <v>10</v>
      </c>
      <c r="D159" s="64" t="s">
        <v>2</v>
      </c>
      <c r="E159" s="64" t="s">
        <v>22</v>
      </c>
      <c r="F159" s="65">
        <f>Приложение_6!F71</f>
        <v>975</v>
      </c>
      <c r="G159" s="65"/>
      <c r="I159" s="80">
        <v>2250</v>
      </c>
      <c r="L159" s="80">
        <f t="shared" si="9"/>
        <v>1275</v>
      </c>
      <c r="M159" s="80">
        <f t="shared" si="10"/>
        <v>0</v>
      </c>
    </row>
    <row r="160" spans="1:13" ht="126" outlineLevel="3">
      <c r="A160" s="63" t="s">
        <v>432</v>
      </c>
      <c r="B160" s="64" t="s">
        <v>37</v>
      </c>
      <c r="C160" s="64" t="s">
        <v>1</v>
      </c>
      <c r="D160" s="64" t="s">
        <v>3</v>
      </c>
      <c r="E160" s="64" t="s">
        <v>3</v>
      </c>
      <c r="F160" s="65">
        <f>F161</f>
        <v>134836.97</v>
      </c>
      <c r="G160" s="65"/>
      <c r="I160" s="80">
        <v>61382</v>
      </c>
      <c r="L160" s="80">
        <f t="shared" si="9"/>
        <v>-73454.97</v>
      </c>
      <c r="M160" s="80">
        <f t="shared" si="10"/>
        <v>0</v>
      </c>
    </row>
    <row r="161" spans="1:13" ht="141.75" outlineLevel="4">
      <c r="A161" s="63" t="s">
        <v>856</v>
      </c>
      <c r="B161" s="64" t="s">
        <v>37</v>
      </c>
      <c r="C161" s="64" t="s">
        <v>10</v>
      </c>
      <c r="D161" s="64" t="s">
        <v>3</v>
      </c>
      <c r="E161" s="64" t="s">
        <v>3</v>
      </c>
      <c r="F161" s="65">
        <f>F162</f>
        <v>134836.97</v>
      </c>
      <c r="G161" s="65"/>
      <c r="I161" s="80">
        <v>61382</v>
      </c>
      <c r="L161" s="80">
        <f t="shared" si="9"/>
        <v>-73454.97</v>
      </c>
      <c r="M161" s="80">
        <f t="shared" si="10"/>
        <v>0</v>
      </c>
    </row>
    <row r="162" spans="1:13" ht="126" outlineLevel="5">
      <c r="A162" s="63" t="s">
        <v>661</v>
      </c>
      <c r="B162" s="64" t="s">
        <v>37</v>
      </c>
      <c r="C162" s="64" t="s">
        <v>10</v>
      </c>
      <c r="D162" s="64" t="s">
        <v>2</v>
      </c>
      <c r="E162" s="64" t="s">
        <v>22</v>
      </c>
      <c r="F162" s="65">
        <f>Приложение_6!F73</f>
        <v>134836.97</v>
      </c>
      <c r="G162" s="65"/>
      <c r="I162" s="80">
        <v>61382</v>
      </c>
      <c r="L162" s="80">
        <f t="shared" si="9"/>
        <v>-73454.97</v>
      </c>
      <c r="M162" s="80">
        <f t="shared" si="10"/>
        <v>0</v>
      </c>
    </row>
    <row r="163" spans="1:13" ht="126" outlineLevel="1">
      <c r="A163" s="70" t="s">
        <v>643</v>
      </c>
      <c r="B163" s="71" t="s">
        <v>314</v>
      </c>
      <c r="C163" s="71" t="s">
        <v>1</v>
      </c>
      <c r="D163" s="71" t="s">
        <v>3</v>
      </c>
      <c r="E163" s="71" t="s">
        <v>3</v>
      </c>
      <c r="F163" s="72">
        <f>F164+F168</f>
        <v>21301599.51</v>
      </c>
      <c r="G163" s="72">
        <f>G164+G168</f>
        <v>0</v>
      </c>
      <c r="I163" s="80">
        <v>21261253.48</v>
      </c>
      <c r="L163" s="80">
        <f t="shared" si="9"/>
        <v>-40346.03000000119</v>
      </c>
      <c r="M163" s="80">
        <f t="shared" si="10"/>
        <v>0</v>
      </c>
    </row>
    <row r="164" spans="1:13" ht="94.5" outlineLevel="2">
      <c r="A164" s="63" t="s">
        <v>580</v>
      </c>
      <c r="B164" s="64" t="s">
        <v>315</v>
      </c>
      <c r="C164" s="64" t="s">
        <v>1</v>
      </c>
      <c r="D164" s="64" t="s">
        <v>3</v>
      </c>
      <c r="E164" s="64" t="s">
        <v>3</v>
      </c>
      <c r="F164" s="65">
        <f>F165</f>
        <v>20966181</v>
      </c>
      <c r="G164" s="65"/>
      <c r="I164" s="80">
        <v>20966181</v>
      </c>
      <c r="L164" s="80">
        <f t="shared" si="9"/>
        <v>0</v>
      </c>
      <c r="M164" s="80">
        <f t="shared" si="10"/>
        <v>0</v>
      </c>
    </row>
    <row r="165" spans="1:13" ht="126" outlineLevel="3">
      <c r="A165" s="63" t="s">
        <v>443</v>
      </c>
      <c r="B165" s="64" t="s">
        <v>316</v>
      </c>
      <c r="C165" s="64" t="s">
        <v>1</v>
      </c>
      <c r="D165" s="64" t="s">
        <v>3</v>
      </c>
      <c r="E165" s="64" t="s">
        <v>3</v>
      </c>
      <c r="F165" s="65">
        <f>F166</f>
        <v>20966181</v>
      </c>
      <c r="G165" s="65"/>
      <c r="I165" s="80">
        <v>20966181</v>
      </c>
      <c r="L165" s="80">
        <f t="shared" si="9"/>
        <v>0</v>
      </c>
      <c r="M165" s="80">
        <f t="shared" si="10"/>
        <v>0</v>
      </c>
    </row>
    <row r="166" spans="1:13" ht="78.75" outlineLevel="4">
      <c r="A166" s="63" t="s">
        <v>692</v>
      </c>
      <c r="B166" s="64" t="s">
        <v>316</v>
      </c>
      <c r="C166" s="64" t="s">
        <v>70</v>
      </c>
      <c r="D166" s="64" t="s">
        <v>3</v>
      </c>
      <c r="E166" s="64" t="s">
        <v>3</v>
      </c>
      <c r="F166" s="65">
        <f>F167</f>
        <v>20966181</v>
      </c>
      <c r="G166" s="65"/>
      <c r="I166" s="80">
        <v>20966181</v>
      </c>
      <c r="L166" s="80">
        <f t="shared" si="9"/>
        <v>0</v>
      </c>
      <c r="M166" s="80">
        <f t="shared" si="10"/>
        <v>0</v>
      </c>
    </row>
    <row r="167" spans="1:13" ht="31.5" outlineLevel="5">
      <c r="A167" s="63" t="s">
        <v>680</v>
      </c>
      <c r="B167" s="64" t="s">
        <v>316</v>
      </c>
      <c r="C167" s="64" t="s">
        <v>70</v>
      </c>
      <c r="D167" s="64" t="s">
        <v>239</v>
      </c>
      <c r="E167" s="64" t="s">
        <v>146</v>
      </c>
      <c r="F167" s="65">
        <f>Приложение_6!F759</f>
        <v>20966181</v>
      </c>
      <c r="G167" s="65"/>
      <c r="I167" s="80">
        <v>20966181</v>
      </c>
      <c r="L167" s="80">
        <f t="shared" si="9"/>
        <v>0</v>
      </c>
      <c r="M167" s="80">
        <f t="shared" si="10"/>
        <v>0</v>
      </c>
    </row>
    <row r="168" spans="1:13" ht="31.5" outlineLevel="2">
      <c r="A168" s="63" t="s">
        <v>560</v>
      </c>
      <c r="B168" s="64" t="s">
        <v>317</v>
      </c>
      <c r="C168" s="64" t="s">
        <v>1</v>
      </c>
      <c r="D168" s="64" t="s">
        <v>3</v>
      </c>
      <c r="E168" s="64" t="s">
        <v>3</v>
      </c>
      <c r="F168" s="65">
        <f>F169</f>
        <v>335418.51</v>
      </c>
      <c r="G168" s="65"/>
      <c r="I168" s="80">
        <v>295072.48</v>
      </c>
      <c r="L168" s="80">
        <f t="shared" si="9"/>
        <v>-40346.03000000003</v>
      </c>
      <c r="M168" s="80">
        <f t="shared" si="10"/>
        <v>0</v>
      </c>
    </row>
    <row r="169" spans="1:13" ht="126" outlineLevel="3">
      <c r="A169" s="63" t="s">
        <v>432</v>
      </c>
      <c r="B169" s="64" t="s">
        <v>318</v>
      </c>
      <c r="C169" s="64" t="s">
        <v>1</v>
      </c>
      <c r="D169" s="64" t="s">
        <v>3</v>
      </c>
      <c r="E169" s="64" t="s">
        <v>3</v>
      </c>
      <c r="F169" s="65">
        <f>F170</f>
        <v>335418.51</v>
      </c>
      <c r="G169" s="65"/>
      <c r="I169" s="80">
        <v>295072.48</v>
      </c>
      <c r="L169" s="80">
        <f t="shared" si="9"/>
        <v>-40346.03000000003</v>
      </c>
      <c r="M169" s="80">
        <f t="shared" si="10"/>
        <v>0</v>
      </c>
    </row>
    <row r="170" spans="1:13" ht="78.75" outlineLevel="4">
      <c r="A170" s="63" t="s">
        <v>692</v>
      </c>
      <c r="B170" s="64" t="s">
        <v>318</v>
      </c>
      <c r="C170" s="64" t="s">
        <v>70</v>
      </c>
      <c r="D170" s="64" t="s">
        <v>3</v>
      </c>
      <c r="E170" s="64" t="s">
        <v>3</v>
      </c>
      <c r="F170" s="65">
        <f>F171</f>
        <v>335418.51</v>
      </c>
      <c r="G170" s="65"/>
      <c r="I170" s="80">
        <v>295072.48</v>
      </c>
      <c r="L170" s="80">
        <f t="shared" si="9"/>
        <v>-40346.03000000003</v>
      </c>
      <c r="M170" s="80">
        <f t="shared" si="10"/>
        <v>0</v>
      </c>
    </row>
    <row r="171" spans="1:13" ht="31.5" outlineLevel="5">
      <c r="A171" s="63" t="s">
        <v>680</v>
      </c>
      <c r="B171" s="64" t="s">
        <v>318</v>
      </c>
      <c r="C171" s="64" t="s">
        <v>70</v>
      </c>
      <c r="D171" s="64" t="s">
        <v>239</v>
      </c>
      <c r="E171" s="64" t="s">
        <v>146</v>
      </c>
      <c r="F171" s="65">
        <f>Приложение_6!F762</f>
        <v>335418.51</v>
      </c>
      <c r="G171" s="65"/>
      <c r="I171" s="80">
        <v>295072.48</v>
      </c>
      <c r="L171" s="80">
        <f t="shared" si="9"/>
        <v>-40346.03000000003</v>
      </c>
      <c r="M171" s="80">
        <f t="shared" si="10"/>
        <v>0</v>
      </c>
    </row>
    <row r="172" spans="1:13" ht="94.5" outlineLevel="1">
      <c r="A172" s="70" t="s">
        <v>644</v>
      </c>
      <c r="B172" s="71" t="s">
        <v>319</v>
      </c>
      <c r="C172" s="71" t="s">
        <v>1</v>
      </c>
      <c r="D172" s="71" t="s">
        <v>3</v>
      </c>
      <c r="E172" s="71" t="s">
        <v>3</v>
      </c>
      <c r="F172" s="72">
        <f>F173+F177</f>
        <v>28135196.18</v>
      </c>
      <c r="G172" s="72">
        <f>G173+G177</f>
        <v>0</v>
      </c>
      <c r="I172" s="80">
        <v>28074972.76</v>
      </c>
      <c r="L172" s="80">
        <f t="shared" si="9"/>
        <v>-60223.41999999806</v>
      </c>
      <c r="M172" s="80">
        <f t="shared" si="10"/>
        <v>0</v>
      </c>
    </row>
    <row r="173" spans="1:13" ht="94.5" outlineLevel="2">
      <c r="A173" s="63" t="s">
        <v>581</v>
      </c>
      <c r="B173" s="64" t="s">
        <v>320</v>
      </c>
      <c r="C173" s="64" t="s">
        <v>1</v>
      </c>
      <c r="D173" s="64" t="s">
        <v>3</v>
      </c>
      <c r="E173" s="64" t="s">
        <v>3</v>
      </c>
      <c r="F173" s="65">
        <f>F174</f>
        <v>27779900</v>
      </c>
      <c r="G173" s="65"/>
      <c r="I173" s="80">
        <v>27779900</v>
      </c>
      <c r="L173" s="80">
        <f t="shared" si="9"/>
        <v>0</v>
      </c>
      <c r="M173" s="80">
        <f t="shared" si="10"/>
        <v>0</v>
      </c>
    </row>
    <row r="174" spans="1:13" ht="126" outlineLevel="3">
      <c r="A174" s="63" t="s">
        <v>443</v>
      </c>
      <c r="B174" s="64" t="s">
        <v>321</v>
      </c>
      <c r="C174" s="64" t="s">
        <v>1</v>
      </c>
      <c r="D174" s="64" t="s">
        <v>3</v>
      </c>
      <c r="E174" s="64" t="s">
        <v>3</v>
      </c>
      <c r="F174" s="65">
        <f>F175</f>
        <v>27779900</v>
      </c>
      <c r="G174" s="65"/>
      <c r="I174" s="80">
        <v>27779900</v>
      </c>
      <c r="L174" s="80">
        <f t="shared" si="9"/>
        <v>0</v>
      </c>
      <c r="M174" s="80">
        <f t="shared" si="10"/>
        <v>0</v>
      </c>
    </row>
    <row r="175" spans="1:13" ht="78.75" outlineLevel="4">
      <c r="A175" s="63" t="s">
        <v>692</v>
      </c>
      <c r="B175" s="64" t="s">
        <v>321</v>
      </c>
      <c r="C175" s="64" t="s">
        <v>70</v>
      </c>
      <c r="D175" s="64" t="s">
        <v>3</v>
      </c>
      <c r="E175" s="64" t="s">
        <v>3</v>
      </c>
      <c r="F175" s="65">
        <f>F176</f>
        <v>27779900</v>
      </c>
      <c r="G175" s="65"/>
      <c r="I175" s="80">
        <v>27779900</v>
      </c>
      <c r="L175" s="80">
        <f t="shared" si="9"/>
        <v>0</v>
      </c>
      <c r="M175" s="80">
        <f t="shared" si="10"/>
        <v>0</v>
      </c>
    </row>
    <row r="176" spans="1:13" ht="31.5" outlineLevel="5">
      <c r="A176" s="63" t="s">
        <v>680</v>
      </c>
      <c r="B176" s="64" t="s">
        <v>321</v>
      </c>
      <c r="C176" s="64" t="s">
        <v>70</v>
      </c>
      <c r="D176" s="64" t="s">
        <v>239</v>
      </c>
      <c r="E176" s="64" t="s">
        <v>146</v>
      </c>
      <c r="F176" s="65">
        <f>Приложение_6!F766</f>
        <v>27779900</v>
      </c>
      <c r="G176" s="65"/>
      <c r="I176" s="80">
        <v>27779900</v>
      </c>
      <c r="L176" s="80">
        <f t="shared" si="9"/>
        <v>0</v>
      </c>
      <c r="M176" s="80">
        <f t="shared" si="10"/>
        <v>0</v>
      </c>
    </row>
    <row r="177" spans="1:13" ht="31.5" outlineLevel="2">
      <c r="A177" s="63" t="s">
        <v>560</v>
      </c>
      <c r="B177" s="64" t="s">
        <v>322</v>
      </c>
      <c r="C177" s="64" t="s">
        <v>1</v>
      </c>
      <c r="D177" s="64" t="s">
        <v>3</v>
      </c>
      <c r="E177" s="64" t="s">
        <v>3</v>
      </c>
      <c r="F177" s="65">
        <f>F178</f>
        <v>355296.18</v>
      </c>
      <c r="G177" s="65"/>
      <c r="I177" s="80">
        <v>295072.76</v>
      </c>
      <c r="L177" s="80">
        <f t="shared" si="9"/>
        <v>-60223.419999999984</v>
      </c>
      <c r="M177" s="80">
        <f t="shared" si="10"/>
        <v>0</v>
      </c>
    </row>
    <row r="178" spans="1:13" ht="126" outlineLevel="3">
      <c r="A178" s="63" t="s">
        <v>432</v>
      </c>
      <c r="B178" s="64" t="s">
        <v>323</v>
      </c>
      <c r="C178" s="64" t="s">
        <v>1</v>
      </c>
      <c r="D178" s="64" t="s">
        <v>3</v>
      </c>
      <c r="E178" s="64" t="s">
        <v>3</v>
      </c>
      <c r="F178" s="65">
        <f>F179</f>
        <v>355296.18</v>
      </c>
      <c r="G178" s="65"/>
      <c r="I178" s="80">
        <v>295072.76</v>
      </c>
      <c r="L178" s="80">
        <f t="shared" si="9"/>
        <v>-60223.419999999984</v>
      </c>
      <c r="M178" s="80">
        <f t="shared" si="10"/>
        <v>0</v>
      </c>
    </row>
    <row r="179" spans="1:13" ht="78.75" outlineLevel="4">
      <c r="A179" s="63" t="s">
        <v>692</v>
      </c>
      <c r="B179" s="64" t="s">
        <v>323</v>
      </c>
      <c r="C179" s="64" t="s">
        <v>70</v>
      </c>
      <c r="D179" s="64" t="s">
        <v>3</v>
      </c>
      <c r="E179" s="64" t="s">
        <v>3</v>
      </c>
      <c r="F179" s="65">
        <f>F180</f>
        <v>355296.18</v>
      </c>
      <c r="G179" s="65"/>
      <c r="I179" s="80">
        <v>295072.76</v>
      </c>
      <c r="L179" s="80">
        <f t="shared" si="9"/>
        <v>-60223.419999999984</v>
      </c>
      <c r="M179" s="80">
        <f t="shared" si="10"/>
        <v>0</v>
      </c>
    </row>
    <row r="180" spans="1:13" ht="31.5" outlineLevel="5">
      <c r="A180" s="63" t="s">
        <v>680</v>
      </c>
      <c r="B180" s="64" t="s">
        <v>323</v>
      </c>
      <c r="C180" s="64" t="s">
        <v>70</v>
      </c>
      <c r="D180" s="64" t="s">
        <v>239</v>
      </c>
      <c r="E180" s="64" t="s">
        <v>146</v>
      </c>
      <c r="F180" s="65">
        <f>Приложение_6!F769</f>
        <v>355296.18</v>
      </c>
      <c r="G180" s="65"/>
      <c r="I180" s="80">
        <v>295072.76</v>
      </c>
      <c r="L180" s="80">
        <f t="shared" si="9"/>
        <v>-60223.419999999984</v>
      </c>
      <c r="M180" s="80">
        <f t="shared" si="10"/>
        <v>0</v>
      </c>
    </row>
    <row r="181" spans="1:13" ht="31.5" customHeight="1" outlineLevel="1">
      <c r="A181" s="70" t="s">
        <v>645</v>
      </c>
      <c r="B181" s="71" t="s">
        <v>324</v>
      </c>
      <c r="C181" s="71" t="s">
        <v>1</v>
      </c>
      <c r="D181" s="71" t="s">
        <v>3</v>
      </c>
      <c r="E181" s="71" t="s">
        <v>3</v>
      </c>
      <c r="F181" s="72">
        <f>F182+F189+F193+F200</f>
        <v>21535798</v>
      </c>
      <c r="G181" s="72">
        <f>G182+G189+G193</f>
        <v>15095800</v>
      </c>
      <c r="I181" s="80">
        <v>21174817.76</v>
      </c>
      <c r="J181" s="80">
        <f>J182+J189+J193</f>
        <v>15095800</v>
      </c>
      <c r="L181" s="80">
        <f t="shared" si="9"/>
        <v>-360980.23999999836</v>
      </c>
      <c r="M181" s="80">
        <f t="shared" si="10"/>
        <v>0</v>
      </c>
    </row>
    <row r="182" spans="1:13" ht="47.25" outlineLevel="2">
      <c r="A182" s="63" t="s">
        <v>582</v>
      </c>
      <c r="B182" s="64" t="s">
        <v>325</v>
      </c>
      <c r="C182" s="64" t="s">
        <v>1</v>
      </c>
      <c r="D182" s="64" t="s">
        <v>3</v>
      </c>
      <c r="E182" s="64" t="s">
        <v>3</v>
      </c>
      <c r="F182" s="65">
        <f>F183+F186</f>
        <v>7385545</v>
      </c>
      <c r="G182" s="65">
        <f>G183+G186</f>
        <v>1601600</v>
      </c>
      <c r="I182" s="80">
        <v>7385545</v>
      </c>
      <c r="J182" s="80">
        <v>1601600</v>
      </c>
      <c r="L182" s="80">
        <f t="shared" si="9"/>
        <v>0</v>
      </c>
      <c r="M182" s="80">
        <f t="shared" si="10"/>
        <v>0</v>
      </c>
    </row>
    <row r="183" spans="1:13" ht="141.75" outlineLevel="3">
      <c r="A183" s="63" t="s">
        <v>470</v>
      </c>
      <c r="B183" s="64" t="s">
        <v>326</v>
      </c>
      <c r="C183" s="64" t="s">
        <v>1</v>
      </c>
      <c r="D183" s="64" t="s">
        <v>3</v>
      </c>
      <c r="E183" s="64" t="s">
        <v>3</v>
      </c>
      <c r="F183" s="65">
        <f>F184</f>
        <v>1601600</v>
      </c>
      <c r="G183" s="65">
        <f>G184</f>
        <v>1601600</v>
      </c>
      <c r="I183" s="80">
        <v>1601600</v>
      </c>
      <c r="J183" s="80">
        <v>1601600</v>
      </c>
      <c r="L183" s="80">
        <f t="shared" si="9"/>
        <v>0</v>
      </c>
      <c r="M183" s="80">
        <f t="shared" si="10"/>
        <v>0</v>
      </c>
    </row>
    <row r="184" spans="1:13" ht="78.75" outlineLevel="4">
      <c r="A184" s="63" t="s">
        <v>692</v>
      </c>
      <c r="B184" s="64" t="s">
        <v>326</v>
      </c>
      <c r="C184" s="64" t="s">
        <v>70</v>
      </c>
      <c r="D184" s="64" t="s">
        <v>3</v>
      </c>
      <c r="E184" s="64" t="s">
        <v>3</v>
      </c>
      <c r="F184" s="65">
        <f>F185</f>
        <v>1601600</v>
      </c>
      <c r="G184" s="65">
        <f>G185</f>
        <v>1601600</v>
      </c>
      <c r="I184" s="80">
        <v>1601600</v>
      </c>
      <c r="J184" s="80">
        <v>1601600</v>
      </c>
      <c r="L184" s="80">
        <f t="shared" si="9"/>
        <v>0</v>
      </c>
      <c r="M184" s="80">
        <f t="shared" si="10"/>
        <v>0</v>
      </c>
    </row>
    <row r="185" spans="1:13" ht="31.5" outlineLevel="5">
      <c r="A185" s="63" t="s">
        <v>680</v>
      </c>
      <c r="B185" s="64" t="s">
        <v>326</v>
      </c>
      <c r="C185" s="64" t="s">
        <v>70</v>
      </c>
      <c r="D185" s="64" t="s">
        <v>239</v>
      </c>
      <c r="E185" s="64" t="s">
        <v>146</v>
      </c>
      <c r="F185" s="65">
        <f>Приложение_6!F773</f>
        <v>1601600</v>
      </c>
      <c r="G185" s="65">
        <f>F185</f>
        <v>1601600</v>
      </c>
      <c r="I185" s="80">
        <v>1601600</v>
      </c>
      <c r="J185" s="80">
        <v>1601600</v>
      </c>
      <c r="L185" s="80">
        <f t="shared" si="9"/>
        <v>0</v>
      </c>
      <c r="M185" s="80">
        <f t="shared" si="10"/>
        <v>0</v>
      </c>
    </row>
    <row r="186" spans="1:13" ht="141.75" outlineLevel="3">
      <c r="A186" s="63" t="s">
        <v>470</v>
      </c>
      <c r="B186" s="64" t="s">
        <v>327</v>
      </c>
      <c r="C186" s="64" t="s">
        <v>1</v>
      </c>
      <c r="D186" s="64" t="s">
        <v>3</v>
      </c>
      <c r="E186" s="64" t="s">
        <v>3</v>
      </c>
      <c r="F186" s="65">
        <f>F187</f>
        <v>5783945</v>
      </c>
      <c r="G186" s="65"/>
      <c r="I186" s="80">
        <v>5783945</v>
      </c>
      <c r="L186" s="80">
        <f t="shared" si="9"/>
        <v>0</v>
      </c>
      <c r="M186" s="80">
        <f t="shared" si="10"/>
        <v>0</v>
      </c>
    </row>
    <row r="187" spans="1:13" ht="78.75" outlineLevel="4">
      <c r="A187" s="63" t="s">
        <v>692</v>
      </c>
      <c r="B187" s="64" t="s">
        <v>327</v>
      </c>
      <c r="C187" s="64" t="s">
        <v>70</v>
      </c>
      <c r="D187" s="64" t="s">
        <v>3</v>
      </c>
      <c r="E187" s="64" t="s">
        <v>3</v>
      </c>
      <c r="F187" s="65">
        <f>F188</f>
        <v>5783945</v>
      </c>
      <c r="G187" s="65"/>
      <c r="I187" s="80">
        <v>5783945</v>
      </c>
      <c r="L187" s="80">
        <f t="shared" si="9"/>
        <v>0</v>
      </c>
      <c r="M187" s="80">
        <f t="shared" si="10"/>
        <v>0</v>
      </c>
    </row>
    <row r="188" spans="1:13" ht="31.5" outlineLevel="5">
      <c r="A188" s="63" t="s">
        <v>680</v>
      </c>
      <c r="B188" s="64" t="s">
        <v>327</v>
      </c>
      <c r="C188" s="64" t="s">
        <v>70</v>
      </c>
      <c r="D188" s="64" t="s">
        <v>239</v>
      </c>
      <c r="E188" s="64" t="s">
        <v>146</v>
      </c>
      <c r="F188" s="65">
        <f>Приложение_6!F775</f>
        <v>5783945</v>
      </c>
      <c r="G188" s="65"/>
      <c r="I188" s="80">
        <v>5783945</v>
      </c>
      <c r="L188" s="80">
        <f t="shared" si="9"/>
        <v>0</v>
      </c>
      <c r="M188" s="80">
        <f t="shared" si="10"/>
        <v>0</v>
      </c>
    </row>
    <row r="189" spans="1:13" ht="63" outlineLevel="2">
      <c r="A189" s="63" t="s">
        <v>583</v>
      </c>
      <c r="B189" s="64" t="s">
        <v>328</v>
      </c>
      <c r="C189" s="64" t="s">
        <v>1</v>
      </c>
      <c r="D189" s="64" t="s">
        <v>3</v>
      </c>
      <c r="E189" s="64" t="s">
        <v>3</v>
      </c>
      <c r="F189" s="65">
        <f aca="true" t="shared" si="11" ref="F189:G191">F190</f>
        <v>13494200</v>
      </c>
      <c r="G189" s="65">
        <f t="shared" si="11"/>
        <v>13494200</v>
      </c>
      <c r="I189" s="80">
        <v>13494200</v>
      </c>
      <c r="J189" s="80">
        <v>13494200</v>
      </c>
      <c r="L189" s="80">
        <f t="shared" si="9"/>
        <v>0</v>
      </c>
      <c r="M189" s="80">
        <f t="shared" si="10"/>
        <v>0</v>
      </c>
    </row>
    <row r="190" spans="1:13" ht="63" outlineLevel="3">
      <c r="A190" s="63" t="s">
        <v>471</v>
      </c>
      <c r="B190" s="64" t="s">
        <v>329</v>
      </c>
      <c r="C190" s="64" t="s">
        <v>1</v>
      </c>
      <c r="D190" s="64" t="s">
        <v>3</v>
      </c>
      <c r="E190" s="64" t="s">
        <v>3</v>
      </c>
      <c r="F190" s="65">
        <f t="shared" si="11"/>
        <v>13494200</v>
      </c>
      <c r="G190" s="65">
        <f t="shared" si="11"/>
        <v>13494200</v>
      </c>
      <c r="I190" s="80">
        <v>13494200</v>
      </c>
      <c r="J190" s="80">
        <v>13494200</v>
      </c>
      <c r="L190" s="80">
        <f t="shared" si="9"/>
        <v>0</v>
      </c>
      <c r="M190" s="80">
        <f t="shared" si="10"/>
        <v>0</v>
      </c>
    </row>
    <row r="191" spans="1:13" ht="78.75" outlineLevel="4">
      <c r="A191" s="63" t="s">
        <v>692</v>
      </c>
      <c r="B191" s="64" t="s">
        <v>329</v>
      </c>
      <c r="C191" s="64" t="s">
        <v>70</v>
      </c>
      <c r="D191" s="64" t="s">
        <v>3</v>
      </c>
      <c r="E191" s="64" t="s">
        <v>3</v>
      </c>
      <c r="F191" s="65">
        <f t="shared" si="11"/>
        <v>13494200</v>
      </c>
      <c r="G191" s="65">
        <f t="shared" si="11"/>
        <v>13494200</v>
      </c>
      <c r="I191" s="80">
        <v>13494200</v>
      </c>
      <c r="J191" s="80">
        <v>13494200</v>
      </c>
      <c r="L191" s="80">
        <f t="shared" si="9"/>
        <v>0</v>
      </c>
      <c r="M191" s="80">
        <f t="shared" si="10"/>
        <v>0</v>
      </c>
    </row>
    <row r="192" spans="1:13" ht="31.5" outlineLevel="5">
      <c r="A192" s="63" t="s">
        <v>680</v>
      </c>
      <c r="B192" s="64" t="s">
        <v>329</v>
      </c>
      <c r="C192" s="64" t="s">
        <v>70</v>
      </c>
      <c r="D192" s="64" t="s">
        <v>239</v>
      </c>
      <c r="E192" s="64" t="s">
        <v>146</v>
      </c>
      <c r="F192" s="65">
        <f>Приложение_6!F778</f>
        <v>13494200</v>
      </c>
      <c r="G192" s="65">
        <f>F192</f>
        <v>13494200</v>
      </c>
      <c r="I192" s="80">
        <v>13494200</v>
      </c>
      <c r="J192" s="80">
        <v>13494200</v>
      </c>
      <c r="L192" s="80">
        <f t="shared" si="9"/>
        <v>0</v>
      </c>
      <c r="M192" s="80">
        <f t="shared" si="10"/>
        <v>0</v>
      </c>
    </row>
    <row r="193" spans="1:13" ht="47.25" outlineLevel="2">
      <c r="A193" s="63" t="s">
        <v>584</v>
      </c>
      <c r="B193" s="64" t="s">
        <v>330</v>
      </c>
      <c r="C193" s="64" t="s">
        <v>1</v>
      </c>
      <c r="D193" s="64" t="s">
        <v>3</v>
      </c>
      <c r="E193" s="64" t="s">
        <v>3</v>
      </c>
      <c r="F193" s="65">
        <f>F194</f>
        <v>463553</v>
      </c>
      <c r="G193" s="65"/>
      <c r="I193" s="80">
        <v>295072.76</v>
      </c>
      <c r="L193" s="80">
        <f t="shared" si="9"/>
        <v>-168480.24</v>
      </c>
      <c r="M193" s="80">
        <f t="shared" si="10"/>
        <v>0</v>
      </c>
    </row>
    <row r="194" spans="1:13" ht="126" outlineLevel="3">
      <c r="A194" s="63" t="s">
        <v>432</v>
      </c>
      <c r="B194" s="64" t="s">
        <v>331</v>
      </c>
      <c r="C194" s="64" t="s">
        <v>1</v>
      </c>
      <c r="D194" s="64" t="s">
        <v>3</v>
      </c>
      <c r="E194" s="64" t="s">
        <v>3</v>
      </c>
      <c r="F194" s="65">
        <f>F195</f>
        <v>463553</v>
      </c>
      <c r="G194" s="65"/>
      <c r="I194" s="80">
        <v>295072.76</v>
      </c>
      <c r="L194" s="80">
        <f t="shared" si="9"/>
        <v>-168480.24</v>
      </c>
      <c r="M194" s="80">
        <f t="shared" si="10"/>
        <v>0</v>
      </c>
    </row>
    <row r="195" spans="1:13" ht="78.75" outlineLevel="4">
      <c r="A195" s="63" t="s">
        <v>692</v>
      </c>
      <c r="B195" s="64" t="s">
        <v>331</v>
      </c>
      <c r="C195" s="64" t="s">
        <v>70</v>
      </c>
      <c r="D195" s="64" t="s">
        <v>3</v>
      </c>
      <c r="E195" s="64" t="s">
        <v>3</v>
      </c>
      <c r="F195" s="65">
        <f>F196</f>
        <v>463553</v>
      </c>
      <c r="G195" s="65"/>
      <c r="I195" s="80">
        <v>295072.76</v>
      </c>
      <c r="L195" s="80">
        <f t="shared" si="9"/>
        <v>-168480.24</v>
      </c>
      <c r="M195" s="80">
        <f t="shared" si="10"/>
        <v>0</v>
      </c>
    </row>
    <row r="196" spans="1:13" ht="31.5" outlineLevel="5">
      <c r="A196" s="63" t="s">
        <v>680</v>
      </c>
      <c r="B196" s="64" t="s">
        <v>331</v>
      </c>
      <c r="C196" s="64" t="s">
        <v>70</v>
      </c>
      <c r="D196" s="64" t="s">
        <v>239</v>
      </c>
      <c r="E196" s="64" t="s">
        <v>146</v>
      </c>
      <c r="F196" s="65">
        <f>Приложение_6!F781</f>
        <v>463553</v>
      </c>
      <c r="G196" s="65"/>
      <c r="I196" s="80">
        <v>295072.76</v>
      </c>
      <c r="L196" s="80">
        <f t="shared" si="9"/>
        <v>-168480.24</v>
      </c>
      <c r="M196" s="80">
        <f t="shared" si="10"/>
        <v>0</v>
      </c>
    </row>
    <row r="197" spans="1:13" ht="31.5" outlineLevel="5">
      <c r="A197" s="36" t="s">
        <v>965</v>
      </c>
      <c r="B197" s="37" t="s">
        <v>966</v>
      </c>
      <c r="C197" s="64" t="s">
        <v>1</v>
      </c>
      <c r="D197" s="64" t="s">
        <v>3</v>
      </c>
      <c r="E197" s="64" t="s">
        <v>3</v>
      </c>
      <c r="F197" s="65">
        <f>F198</f>
        <v>192500</v>
      </c>
      <c r="G197" s="65"/>
      <c r="I197" s="80"/>
      <c r="L197" s="80"/>
      <c r="M197" s="80"/>
    </row>
    <row r="198" spans="1:13" ht="126" outlineLevel="5">
      <c r="A198" s="63" t="s">
        <v>443</v>
      </c>
      <c r="B198" s="37" t="s">
        <v>967</v>
      </c>
      <c r="C198" s="64" t="s">
        <v>1</v>
      </c>
      <c r="D198" s="64" t="s">
        <v>3</v>
      </c>
      <c r="E198" s="64" t="s">
        <v>3</v>
      </c>
      <c r="F198" s="65">
        <f>F199</f>
        <v>192500</v>
      </c>
      <c r="G198" s="65"/>
      <c r="I198" s="80"/>
      <c r="L198" s="80"/>
      <c r="M198" s="80"/>
    </row>
    <row r="199" spans="1:13" ht="78.75" outlineLevel="5">
      <c r="A199" s="63" t="s">
        <v>692</v>
      </c>
      <c r="B199" s="37" t="s">
        <v>967</v>
      </c>
      <c r="C199" s="64" t="s">
        <v>70</v>
      </c>
      <c r="D199" s="64" t="s">
        <v>3</v>
      </c>
      <c r="E199" s="64" t="s">
        <v>3</v>
      </c>
      <c r="F199" s="65">
        <f>F200</f>
        <v>192500</v>
      </c>
      <c r="G199" s="65"/>
      <c r="I199" s="80"/>
      <c r="L199" s="80"/>
      <c r="M199" s="80"/>
    </row>
    <row r="200" spans="1:13" ht="31.5" outlineLevel="5">
      <c r="A200" s="63" t="s">
        <v>680</v>
      </c>
      <c r="B200" s="37" t="s">
        <v>967</v>
      </c>
      <c r="C200" s="64" t="s">
        <v>70</v>
      </c>
      <c r="D200" s="64" t="s">
        <v>239</v>
      </c>
      <c r="E200" s="64" t="s">
        <v>146</v>
      </c>
      <c r="F200" s="65">
        <f>Приложение_6!F784</f>
        <v>192500</v>
      </c>
      <c r="G200" s="65"/>
      <c r="I200" s="80"/>
      <c r="L200" s="80"/>
      <c r="M200" s="80"/>
    </row>
    <row r="201" spans="1:13" ht="78.75" outlineLevel="1">
      <c r="A201" s="70" t="s">
        <v>640</v>
      </c>
      <c r="B201" s="71" t="s">
        <v>291</v>
      </c>
      <c r="C201" s="71" t="s">
        <v>1</v>
      </c>
      <c r="D201" s="71" t="s">
        <v>3</v>
      </c>
      <c r="E201" s="71" t="s">
        <v>3</v>
      </c>
      <c r="F201" s="72">
        <f>F202+F212</f>
        <v>12712790</v>
      </c>
      <c r="G201" s="72">
        <f>G202+G212</f>
        <v>3866700</v>
      </c>
      <c r="I201" s="80">
        <v>12712790</v>
      </c>
      <c r="J201" s="80">
        <v>3866700</v>
      </c>
      <c r="L201" s="80">
        <f t="shared" si="9"/>
        <v>0</v>
      </c>
      <c r="M201" s="80">
        <f t="shared" si="10"/>
        <v>0</v>
      </c>
    </row>
    <row r="202" spans="1:13" ht="47.25" outlineLevel="2">
      <c r="A202" s="63" t="s">
        <v>572</v>
      </c>
      <c r="B202" s="64" t="s">
        <v>292</v>
      </c>
      <c r="C202" s="64" t="s">
        <v>1</v>
      </c>
      <c r="D202" s="64" t="s">
        <v>3</v>
      </c>
      <c r="E202" s="64" t="s">
        <v>3</v>
      </c>
      <c r="F202" s="65">
        <f>F203+F206+F209</f>
        <v>7574557.2</v>
      </c>
      <c r="G202" s="65">
        <f>G203+G206+G209</f>
        <v>752400</v>
      </c>
      <c r="I202" s="80">
        <v>6822157.2</v>
      </c>
      <c r="L202" s="80">
        <f t="shared" si="9"/>
        <v>-752400</v>
      </c>
      <c r="M202" s="80">
        <f t="shared" si="10"/>
        <v>-752400</v>
      </c>
    </row>
    <row r="203" spans="1:13" ht="31.5" customHeight="1" outlineLevel="3">
      <c r="A203" s="63" t="s">
        <v>441</v>
      </c>
      <c r="B203" s="64" t="s">
        <v>293</v>
      </c>
      <c r="C203" s="64" t="s">
        <v>1</v>
      </c>
      <c r="D203" s="64" t="s">
        <v>3</v>
      </c>
      <c r="E203" s="64" t="s">
        <v>3</v>
      </c>
      <c r="F203" s="65">
        <f>F204</f>
        <v>6782557.2</v>
      </c>
      <c r="G203" s="65"/>
      <c r="I203" s="80">
        <v>6822157.2</v>
      </c>
      <c r="L203" s="80">
        <f t="shared" si="9"/>
        <v>39600</v>
      </c>
      <c r="M203" s="80">
        <f t="shared" si="10"/>
        <v>0</v>
      </c>
    </row>
    <row r="204" spans="1:13" ht="78.75" outlineLevel="4">
      <c r="A204" s="63" t="s">
        <v>692</v>
      </c>
      <c r="B204" s="64" t="s">
        <v>293</v>
      </c>
      <c r="C204" s="64" t="s">
        <v>70</v>
      </c>
      <c r="D204" s="64" t="s">
        <v>3</v>
      </c>
      <c r="E204" s="64" t="s">
        <v>3</v>
      </c>
      <c r="F204" s="65">
        <f>F205</f>
        <v>6782557.2</v>
      </c>
      <c r="G204" s="65"/>
      <c r="I204" s="80">
        <v>6822157.2</v>
      </c>
      <c r="L204" s="80">
        <f t="shared" si="9"/>
        <v>39600</v>
      </c>
      <c r="M204" s="80">
        <f t="shared" si="10"/>
        <v>0</v>
      </c>
    </row>
    <row r="205" spans="1:13" ht="15.75" outlineLevel="5">
      <c r="A205" s="63" t="s">
        <v>679</v>
      </c>
      <c r="B205" s="64" t="s">
        <v>293</v>
      </c>
      <c r="C205" s="64" t="s">
        <v>70</v>
      </c>
      <c r="D205" s="64" t="s">
        <v>239</v>
      </c>
      <c r="E205" s="64" t="s">
        <v>239</v>
      </c>
      <c r="F205" s="65">
        <f>Приложение_6!F712</f>
        <v>6782557.2</v>
      </c>
      <c r="G205" s="65"/>
      <c r="I205" s="80">
        <v>6822157.2</v>
      </c>
      <c r="L205" s="80">
        <f t="shared" si="9"/>
        <v>39600</v>
      </c>
      <c r="M205" s="80">
        <f t="shared" si="10"/>
        <v>0</v>
      </c>
    </row>
    <row r="206" spans="1:13" ht="78.75" outlineLevel="5">
      <c r="A206" s="103" t="s">
        <v>864</v>
      </c>
      <c r="B206" s="104" t="s">
        <v>878</v>
      </c>
      <c r="C206" s="104" t="s">
        <v>1</v>
      </c>
      <c r="D206" s="64" t="s">
        <v>3</v>
      </c>
      <c r="E206" s="64" t="s">
        <v>3</v>
      </c>
      <c r="F206" s="65">
        <f>F207</f>
        <v>752400</v>
      </c>
      <c r="G206" s="65">
        <f>F206</f>
        <v>752400</v>
      </c>
      <c r="I206" s="80"/>
      <c r="L206" s="80"/>
      <c r="M206" s="80"/>
    </row>
    <row r="207" spans="1:13" ht="62.25" customHeight="1" outlineLevel="5">
      <c r="A207" s="103" t="s">
        <v>692</v>
      </c>
      <c r="B207" s="104" t="s">
        <v>878</v>
      </c>
      <c r="C207" s="104" t="s">
        <v>70</v>
      </c>
      <c r="D207" s="64" t="s">
        <v>3</v>
      </c>
      <c r="E207" s="64" t="s">
        <v>3</v>
      </c>
      <c r="F207" s="65">
        <f>F208</f>
        <v>752400</v>
      </c>
      <c r="G207" s="65">
        <f>F207</f>
        <v>752400</v>
      </c>
      <c r="I207" s="80"/>
      <c r="L207" s="80"/>
      <c r="M207" s="80"/>
    </row>
    <row r="208" spans="1:13" ht="15.75" outlineLevel="5">
      <c r="A208" s="63" t="s">
        <v>679</v>
      </c>
      <c r="B208" s="104" t="s">
        <v>878</v>
      </c>
      <c r="C208" s="64" t="s">
        <v>70</v>
      </c>
      <c r="D208" s="64" t="s">
        <v>239</v>
      </c>
      <c r="E208" s="64" t="s">
        <v>239</v>
      </c>
      <c r="F208" s="65">
        <f>Приложение_6!F714</f>
        <v>752400</v>
      </c>
      <c r="G208" s="65">
        <f>F208</f>
        <v>752400</v>
      </c>
      <c r="I208" s="80"/>
      <c r="L208" s="80"/>
      <c r="M208" s="80"/>
    </row>
    <row r="209" spans="1:13" ht="71.25" customHeight="1" outlineLevel="5">
      <c r="A209" s="103" t="s">
        <v>864</v>
      </c>
      <c r="B209" s="104" t="s">
        <v>877</v>
      </c>
      <c r="C209" s="104" t="s">
        <v>1</v>
      </c>
      <c r="D209" s="64" t="s">
        <v>3</v>
      </c>
      <c r="E209" s="64" t="s">
        <v>3</v>
      </c>
      <c r="F209" s="65">
        <f>F210</f>
        <v>39600</v>
      </c>
      <c r="G209" s="65"/>
      <c r="I209" s="80"/>
      <c r="L209" s="80"/>
      <c r="M209" s="80"/>
    </row>
    <row r="210" spans="1:13" ht="78.75" outlineLevel="5">
      <c r="A210" s="103" t="s">
        <v>692</v>
      </c>
      <c r="B210" s="104" t="s">
        <v>877</v>
      </c>
      <c r="C210" s="104" t="s">
        <v>70</v>
      </c>
      <c r="D210" s="64" t="s">
        <v>3</v>
      </c>
      <c r="E210" s="64" t="s">
        <v>3</v>
      </c>
      <c r="F210" s="65">
        <f>F211</f>
        <v>39600</v>
      </c>
      <c r="G210" s="65"/>
      <c r="I210" s="80"/>
      <c r="L210" s="80"/>
      <c r="M210" s="80"/>
    </row>
    <row r="211" spans="1:13" ht="15.75" outlineLevel="5">
      <c r="A211" s="63" t="s">
        <v>679</v>
      </c>
      <c r="B211" s="104" t="s">
        <v>877</v>
      </c>
      <c r="C211" s="64" t="s">
        <v>70</v>
      </c>
      <c r="D211" s="64" t="s">
        <v>239</v>
      </c>
      <c r="E211" s="64" t="s">
        <v>239</v>
      </c>
      <c r="F211" s="65">
        <f>Приложение_6!F716</f>
        <v>39600</v>
      </c>
      <c r="G211" s="65"/>
      <c r="I211" s="80"/>
      <c r="L211" s="80"/>
      <c r="M211" s="80"/>
    </row>
    <row r="212" spans="1:13" ht="63" outlineLevel="2">
      <c r="A212" s="63" t="s">
        <v>573</v>
      </c>
      <c r="B212" s="64" t="s">
        <v>294</v>
      </c>
      <c r="C212" s="64" t="s">
        <v>1</v>
      </c>
      <c r="D212" s="64" t="s">
        <v>3</v>
      </c>
      <c r="E212" s="64" t="s">
        <v>3</v>
      </c>
      <c r="F212" s="65">
        <f>F213+F216</f>
        <v>5138232.8</v>
      </c>
      <c r="G212" s="65">
        <f>G213+G216</f>
        <v>3114300</v>
      </c>
      <c r="I212" s="80">
        <v>5890632.8</v>
      </c>
      <c r="J212" s="80">
        <v>3866700</v>
      </c>
      <c r="L212" s="80">
        <f t="shared" si="9"/>
        <v>752400</v>
      </c>
      <c r="M212" s="80">
        <f t="shared" si="10"/>
        <v>752400</v>
      </c>
    </row>
    <row r="213" spans="1:13" ht="78.75" outlineLevel="3">
      <c r="A213" s="63" t="s">
        <v>864</v>
      </c>
      <c r="B213" s="64" t="s">
        <v>295</v>
      </c>
      <c r="C213" s="64" t="s">
        <v>1</v>
      </c>
      <c r="D213" s="64" t="s">
        <v>3</v>
      </c>
      <c r="E213" s="64" t="s">
        <v>3</v>
      </c>
      <c r="F213" s="65">
        <f>F214</f>
        <v>3114300</v>
      </c>
      <c r="G213" s="65">
        <f>G214</f>
        <v>3114300</v>
      </c>
      <c r="I213" s="80">
        <v>3866700</v>
      </c>
      <c r="J213" s="80">
        <v>3866700</v>
      </c>
      <c r="L213" s="80">
        <f t="shared" si="9"/>
        <v>752400</v>
      </c>
      <c r="M213" s="80">
        <f t="shared" si="10"/>
        <v>752400</v>
      </c>
    </row>
    <row r="214" spans="1:13" ht="78.75" outlineLevel="4">
      <c r="A214" s="63" t="s">
        <v>692</v>
      </c>
      <c r="B214" s="64" t="s">
        <v>295</v>
      </c>
      <c r="C214" s="64" t="s">
        <v>70</v>
      </c>
      <c r="D214" s="64" t="s">
        <v>3</v>
      </c>
      <c r="E214" s="64" t="s">
        <v>3</v>
      </c>
      <c r="F214" s="65">
        <f>F215</f>
        <v>3114300</v>
      </c>
      <c r="G214" s="65">
        <f>G215</f>
        <v>3114300</v>
      </c>
      <c r="I214" s="80">
        <v>3866700</v>
      </c>
      <c r="J214" s="80">
        <v>3866700</v>
      </c>
      <c r="L214" s="80">
        <f t="shared" si="9"/>
        <v>752400</v>
      </c>
      <c r="M214" s="80">
        <f t="shared" si="10"/>
        <v>752400</v>
      </c>
    </row>
    <row r="215" spans="1:13" ht="15.75" outlineLevel="5">
      <c r="A215" s="63" t="s">
        <v>679</v>
      </c>
      <c r="B215" s="64" t="s">
        <v>295</v>
      </c>
      <c r="C215" s="64" t="s">
        <v>70</v>
      </c>
      <c r="D215" s="64" t="s">
        <v>239</v>
      </c>
      <c r="E215" s="64" t="s">
        <v>239</v>
      </c>
      <c r="F215" s="65">
        <f>Приложение_6!F719</f>
        <v>3114300</v>
      </c>
      <c r="G215" s="65">
        <f>F215</f>
        <v>3114300</v>
      </c>
      <c r="I215" s="80">
        <v>3866700</v>
      </c>
      <c r="J215" s="80">
        <v>3866700</v>
      </c>
      <c r="L215" s="80">
        <f t="shared" si="9"/>
        <v>752400</v>
      </c>
      <c r="M215" s="80">
        <f t="shared" si="10"/>
        <v>752400</v>
      </c>
    </row>
    <row r="216" spans="1:13" ht="63.75" customHeight="1" outlineLevel="3">
      <c r="A216" s="63" t="s">
        <v>864</v>
      </c>
      <c r="B216" s="64" t="s">
        <v>296</v>
      </c>
      <c r="C216" s="64" t="s">
        <v>1</v>
      </c>
      <c r="D216" s="64" t="s">
        <v>3</v>
      </c>
      <c r="E216" s="64" t="s">
        <v>3</v>
      </c>
      <c r="F216" s="65">
        <f>F217</f>
        <v>2023932.8</v>
      </c>
      <c r="G216" s="65"/>
      <c r="I216" s="80">
        <v>2023932.8</v>
      </c>
      <c r="L216" s="80">
        <f aca="true" t="shared" si="12" ref="L216:L297">I216-F216</f>
        <v>0</v>
      </c>
      <c r="M216" s="80">
        <f aca="true" t="shared" si="13" ref="M216:M297">J216-G216</f>
        <v>0</v>
      </c>
    </row>
    <row r="217" spans="1:13" ht="72" customHeight="1" outlineLevel="4">
      <c r="A217" s="63" t="s">
        <v>692</v>
      </c>
      <c r="B217" s="64" t="s">
        <v>296</v>
      </c>
      <c r="C217" s="64" t="s">
        <v>70</v>
      </c>
      <c r="D217" s="64" t="s">
        <v>3</v>
      </c>
      <c r="E217" s="64" t="s">
        <v>3</v>
      </c>
      <c r="F217" s="65">
        <f>F218</f>
        <v>2023932.8</v>
      </c>
      <c r="G217" s="65"/>
      <c r="I217" s="80">
        <v>2023932.8</v>
      </c>
      <c r="L217" s="80">
        <f t="shared" si="12"/>
        <v>0</v>
      </c>
      <c r="M217" s="80">
        <f t="shared" si="13"/>
        <v>0</v>
      </c>
    </row>
    <row r="218" spans="1:13" ht="15.75" outlineLevel="5">
      <c r="A218" s="63" t="s">
        <v>679</v>
      </c>
      <c r="B218" s="64" t="s">
        <v>296</v>
      </c>
      <c r="C218" s="64" t="s">
        <v>70</v>
      </c>
      <c r="D218" s="64" t="s">
        <v>239</v>
      </c>
      <c r="E218" s="64" t="s">
        <v>239</v>
      </c>
      <c r="F218" s="65">
        <f>Приложение_6!F721</f>
        <v>2023932.8</v>
      </c>
      <c r="G218" s="65"/>
      <c r="I218" s="80">
        <v>2023932.8</v>
      </c>
      <c r="L218" s="80">
        <f t="shared" si="12"/>
        <v>0</v>
      </c>
      <c r="M218" s="80">
        <f t="shared" si="13"/>
        <v>0</v>
      </c>
    </row>
    <row r="219" spans="1:13" ht="89.25" customHeight="1" outlineLevel="1">
      <c r="A219" s="70" t="s">
        <v>637</v>
      </c>
      <c r="B219" s="71" t="s">
        <v>249</v>
      </c>
      <c r="C219" s="71" t="s">
        <v>1</v>
      </c>
      <c r="D219" s="71" t="s">
        <v>3</v>
      </c>
      <c r="E219" s="71" t="s">
        <v>3</v>
      </c>
      <c r="F219" s="72">
        <f>F220+F224+F242+F246+F229</f>
        <v>19417416.71</v>
      </c>
      <c r="G219" s="72">
        <f>G220+G224+G242+G246</f>
        <v>774513.73</v>
      </c>
      <c r="I219" s="80">
        <v>6693104.73</v>
      </c>
      <c r="J219" s="80">
        <v>774513.73</v>
      </c>
      <c r="L219" s="80">
        <f t="shared" si="12"/>
        <v>-12724311.98</v>
      </c>
      <c r="M219" s="80">
        <f t="shared" si="13"/>
        <v>0</v>
      </c>
    </row>
    <row r="220" spans="1:13" ht="31.5" outlineLevel="2">
      <c r="A220" s="63" t="s">
        <v>561</v>
      </c>
      <c r="B220" s="64" t="s">
        <v>250</v>
      </c>
      <c r="C220" s="64" t="s">
        <v>1</v>
      </c>
      <c r="D220" s="64" t="s">
        <v>3</v>
      </c>
      <c r="E220" s="64" t="s">
        <v>3</v>
      </c>
      <c r="F220" s="65">
        <f aca="true" t="shared" si="14" ref="F220:G222">F221</f>
        <v>774513.73</v>
      </c>
      <c r="G220" s="65">
        <f t="shared" si="14"/>
        <v>774513.73</v>
      </c>
      <c r="I220" s="80">
        <v>774513.73</v>
      </c>
      <c r="J220" s="80">
        <v>774513.73</v>
      </c>
      <c r="L220" s="80">
        <f t="shared" si="12"/>
        <v>0</v>
      </c>
      <c r="M220" s="80">
        <f t="shared" si="13"/>
        <v>0</v>
      </c>
    </row>
    <row r="221" spans="1:13" ht="94.5" outlineLevel="3">
      <c r="A221" s="63" t="s">
        <v>467</v>
      </c>
      <c r="B221" s="64" t="s">
        <v>251</v>
      </c>
      <c r="C221" s="64" t="s">
        <v>1</v>
      </c>
      <c r="D221" s="64" t="s">
        <v>3</v>
      </c>
      <c r="E221" s="64" t="s">
        <v>3</v>
      </c>
      <c r="F221" s="65">
        <f t="shared" si="14"/>
        <v>774513.73</v>
      </c>
      <c r="G221" s="65">
        <f t="shared" si="14"/>
        <v>774513.73</v>
      </c>
      <c r="I221" s="80">
        <v>774513.73</v>
      </c>
      <c r="J221" s="80">
        <v>774513.73</v>
      </c>
      <c r="L221" s="80">
        <f t="shared" si="12"/>
        <v>0</v>
      </c>
      <c r="M221" s="80">
        <f t="shared" si="13"/>
        <v>0</v>
      </c>
    </row>
    <row r="222" spans="1:13" ht="63" outlineLevel="4">
      <c r="A222" s="63" t="s">
        <v>867</v>
      </c>
      <c r="B222" s="64" t="s">
        <v>251</v>
      </c>
      <c r="C222" s="64" t="s">
        <v>143</v>
      </c>
      <c r="D222" s="64" t="s">
        <v>3</v>
      </c>
      <c r="E222" s="64" t="s">
        <v>3</v>
      </c>
      <c r="F222" s="65">
        <f t="shared" si="14"/>
        <v>774513.73</v>
      </c>
      <c r="G222" s="65">
        <f t="shared" si="14"/>
        <v>774513.73</v>
      </c>
      <c r="I222" s="80">
        <v>774513.73</v>
      </c>
      <c r="J222" s="80">
        <v>774513.73</v>
      </c>
      <c r="L222" s="80">
        <f t="shared" si="12"/>
        <v>0</v>
      </c>
      <c r="M222" s="80">
        <f t="shared" si="13"/>
        <v>0</v>
      </c>
    </row>
    <row r="223" spans="1:13" ht="15.75" outlineLevel="5">
      <c r="A223" s="63" t="s">
        <v>676</v>
      </c>
      <c r="B223" s="64" t="s">
        <v>251</v>
      </c>
      <c r="C223" s="64" t="s">
        <v>143</v>
      </c>
      <c r="D223" s="64" t="s">
        <v>239</v>
      </c>
      <c r="E223" s="64" t="s">
        <v>2</v>
      </c>
      <c r="F223" s="65">
        <f>Приложение_6!F584</f>
        <v>774513.73</v>
      </c>
      <c r="G223" s="65">
        <f>F223</f>
        <v>774513.73</v>
      </c>
      <c r="I223" s="80">
        <v>774513.73</v>
      </c>
      <c r="J223" s="80">
        <v>774513.73</v>
      </c>
      <c r="L223" s="80">
        <f t="shared" si="12"/>
        <v>0</v>
      </c>
      <c r="M223" s="80">
        <f t="shared" si="13"/>
        <v>0</v>
      </c>
    </row>
    <row r="224" spans="1:13" ht="63" outlineLevel="2">
      <c r="A224" s="63" t="s">
        <v>562</v>
      </c>
      <c r="B224" s="64" t="s">
        <v>252</v>
      </c>
      <c r="C224" s="64" t="s">
        <v>1</v>
      </c>
      <c r="D224" s="64" t="s">
        <v>3</v>
      </c>
      <c r="E224" s="64" t="s">
        <v>3</v>
      </c>
      <c r="F224" s="65">
        <f>F225</f>
        <v>1179122.71</v>
      </c>
      <c r="G224" s="65"/>
      <c r="I224" s="80">
        <v>1651188</v>
      </c>
      <c r="L224" s="80">
        <f t="shared" si="12"/>
        <v>472065.29000000004</v>
      </c>
      <c r="M224" s="80">
        <f t="shared" si="13"/>
        <v>0</v>
      </c>
    </row>
    <row r="225" spans="1:13" ht="31.5" customHeight="1" outlineLevel="3">
      <c r="A225" s="63" t="s">
        <v>441</v>
      </c>
      <c r="B225" s="64" t="s">
        <v>253</v>
      </c>
      <c r="C225" s="64" t="s">
        <v>1</v>
      </c>
      <c r="D225" s="64" t="s">
        <v>3</v>
      </c>
      <c r="E225" s="64" t="s">
        <v>3</v>
      </c>
      <c r="F225" s="65">
        <f>F226</f>
        <v>1179122.71</v>
      </c>
      <c r="G225" s="65"/>
      <c r="I225" s="80">
        <v>1651188</v>
      </c>
      <c r="L225" s="80">
        <f t="shared" si="12"/>
        <v>472065.29000000004</v>
      </c>
      <c r="M225" s="80">
        <f t="shared" si="13"/>
        <v>0</v>
      </c>
    </row>
    <row r="226" spans="1:13" ht="78.75" outlineLevel="4">
      <c r="A226" s="63" t="s">
        <v>692</v>
      </c>
      <c r="B226" s="64" t="s">
        <v>253</v>
      </c>
      <c r="C226" s="64" t="s">
        <v>70</v>
      </c>
      <c r="D226" s="64" t="s">
        <v>3</v>
      </c>
      <c r="E226" s="64" t="s">
        <v>3</v>
      </c>
      <c r="F226" s="65">
        <f>F227+F228</f>
        <v>1179122.71</v>
      </c>
      <c r="G226" s="65"/>
      <c r="I226" s="80">
        <v>1651188</v>
      </c>
      <c r="L226" s="80">
        <f t="shared" si="12"/>
        <v>472065.29000000004</v>
      </c>
      <c r="M226" s="80">
        <f t="shared" si="13"/>
        <v>0</v>
      </c>
    </row>
    <row r="227" spans="1:13" ht="15.75" outlineLevel="5">
      <c r="A227" s="63" t="s">
        <v>676</v>
      </c>
      <c r="B227" s="64" t="s">
        <v>253</v>
      </c>
      <c r="C227" s="64" t="s">
        <v>70</v>
      </c>
      <c r="D227" s="64" t="s">
        <v>239</v>
      </c>
      <c r="E227" s="64" t="s">
        <v>2</v>
      </c>
      <c r="F227" s="65">
        <f>Приложение_6!F587</f>
        <v>715122.71</v>
      </c>
      <c r="G227" s="65"/>
      <c r="I227" s="80">
        <v>1187188</v>
      </c>
      <c r="L227" s="80">
        <f t="shared" si="12"/>
        <v>472065.29000000004</v>
      </c>
      <c r="M227" s="80">
        <f t="shared" si="13"/>
        <v>0</v>
      </c>
    </row>
    <row r="228" spans="1:13" ht="31.5" outlineLevel="5">
      <c r="A228" s="63" t="s">
        <v>678</v>
      </c>
      <c r="B228" s="64" t="s">
        <v>253</v>
      </c>
      <c r="C228" s="64" t="s">
        <v>70</v>
      </c>
      <c r="D228" s="64" t="s">
        <v>239</v>
      </c>
      <c r="E228" s="64" t="s">
        <v>14</v>
      </c>
      <c r="F228" s="65">
        <f>Приложение_6!F674</f>
        <v>464000</v>
      </c>
      <c r="G228" s="65"/>
      <c r="I228" s="80"/>
      <c r="L228" s="80"/>
      <c r="M228" s="80"/>
    </row>
    <row r="229" spans="1:13" ht="78.75" outlineLevel="5">
      <c r="A229" s="36" t="s">
        <v>585</v>
      </c>
      <c r="B229" s="64" t="s">
        <v>415</v>
      </c>
      <c r="C229" s="64" t="s">
        <v>1</v>
      </c>
      <c r="D229" s="64" t="s">
        <v>3</v>
      </c>
      <c r="E229" s="64" t="s">
        <v>3</v>
      </c>
      <c r="F229" s="65">
        <f>F230+F237</f>
        <v>11421807.32</v>
      </c>
      <c r="G229" s="65"/>
      <c r="I229" s="80"/>
      <c r="L229" s="80"/>
      <c r="M229" s="80"/>
    </row>
    <row r="230" spans="1:13" ht="54.75" customHeight="1" outlineLevel="5">
      <c r="A230" s="36" t="s">
        <v>456</v>
      </c>
      <c r="B230" s="64" t="s">
        <v>890</v>
      </c>
      <c r="C230" s="64" t="s">
        <v>1</v>
      </c>
      <c r="D230" s="64" t="s">
        <v>3</v>
      </c>
      <c r="E230" s="64" t="s">
        <v>3</v>
      </c>
      <c r="F230" s="65">
        <f>F233+F231</f>
        <v>9344593.32</v>
      </c>
      <c r="G230" s="65"/>
      <c r="I230" s="80"/>
      <c r="L230" s="80"/>
      <c r="M230" s="80"/>
    </row>
    <row r="231" spans="1:13" ht="64.5" customHeight="1" outlineLevel="5">
      <c r="A231" s="36" t="s">
        <v>689</v>
      </c>
      <c r="B231" s="64" t="s">
        <v>890</v>
      </c>
      <c r="C231" s="64" t="s">
        <v>17</v>
      </c>
      <c r="D231" s="64" t="s">
        <v>3</v>
      </c>
      <c r="E231" s="64" t="s">
        <v>3</v>
      </c>
      <c r="F231" s="65">
        <f>F232</f>
        <v>262900</v>
      </c>
      <c r="G231" s="65"/>
      <c r="I231" s="80"/>
      <c r="L231" s="80"/>
      <c r="M231" s="80"/>
    </row>
    <row r="232" spans="1:13" ht="20.25" customHeight="1" outlineLevel="5">
      <c r="A232" s="63" t="s">
        <v>676</v>
      </c>
      <c r="B232" s="64" t="s">
        <v>890</v>
      </c>
      <c r="C232" s="64" t="s">
        <v>17</v>
      </c>
      <c r="D232" s="64" t="s">
        <v>239</v>
      </c>
      <c r="E232" s="64" t="s">
        <v>2</v>
      </c>
      <c r="F232" s="65">
        <f>Приложение_6!F590</f>
        <v>262900</v>
      </c>
      <c r="G232" s="65"/>
      <c r="I232" s="80"/>
      <c r="L232" s="80"/>
      <c r="M232" s="80"/>
    </row>
    <row r="233" spans="1:13" ht="78.75" outlineLevel="5">
      <c r="A233" s="36" t="s">
        <v>692</v>
      </c>
      <c r="B233" s="64" t="s">
        <v>890</v>
      </c>
      <c r="C233" s="64" t="s">
        <v>70</v>
      </c>
      <c r="D233" s="64" t="s">
        <v>3</v>
      </c>
      <c r="E233" s="64" t="s">
        <v>3</v>
      </c>
      <c r="F233" s="65">
        <f>F234+F235+F236</f>
        <v>9081693.32</v>
      </c>
      <c r="G233" s="65"/>
      <c r="I233" s="80"/>
      <c r="L233" s="80"/>
      <c r="M233" s="80"/>
    </row>
    <row r="234" spans="1:13" ht="15.75" outlineLevel="5">
      <c r="A234" s="63" t="s">
        <v>676</v>
      </c>
      <c r="B234" s="64" t="s">
        <v>890</v>
      </c>
      <c r="C234" s="64" t="s">
        <v>70</v>
      </c>
      <c r="D234" s="64" t="s">
        <v>239</v>
      </c>
      <c r="E234" s="64" t="s">
        <v>2</v>
      </c>
      <c r="F234" s="65">
        <f>Приложение_6!F591</f>
        <v>4040309.38</v>
      </c>
      <c r="G234" s="65"/>
      <c r="I234" s="80"/>
      <c r="L234" s="80"/>
      <c r="M234" s="80"/>
    </row>
    <row r="235" spans="1:13" ht="15.75" outlineLevel="5">
      <c r="A235" s="63" t="s">
        <v>677</v>
      </c>
      <c r="B235" s="64" t="s">
        <v>890</v>
      </c>
      <c r="C235" s="64" t="s">
        <v>70</v>
      </c>
      <c r="D235" s="64" t="s">
        <v>239</v>
      </c>
      <c r="E235" s="64" t="s">
        <v>5</v>
      </c>
      <c r="F235" s="65">
        <f>Приложение_6!F642</f>
        <v>4566178.74</v>
      </c>
      <c r="G235" s="65"/>
      <c r="I235" s="80"/>
      <c r="L235" s="80"/>
      <c r="M235" s="80"/>
    </row>
    <row r="236" spans="1:13" ht="31.5" outlineLevel="5">
      <c r="A236" s="63" t="s">
        <v>678</v>
      </c>
      <c r="B236" s="64" t="s">
        <v>890</v>
      </c>
      <c r="C236" s="64" t="s">
        <v>70</v>
      </c>
      <c r="D236" s="64" t="s">
        <v>239</v>
      </c>
      <c r="E236" s="64" t="s">
        <v>14</v>
      </c>
      <c r="F236" s="65">
        <f>Приложение_6!F677</f>
        <v>475205.2</v>
      </c>
      <c r="G236" s="65"/>
      <c r="I236" s="80"/>
      <c r="L236" s="80"/>
      <c r="M236" s="80"/>
    </row>
    <row r="237" spans="1:13" ht="31.5" outlineLevel="5">
      <c r="A237" s="36" t="s">
        <v>441</v>
      </c>
      <c r="B237" s="64" t="s">
        <v>947</v>
      </c>
      <c r="C237" s="64" t="s">
        <v>1</v>
      </c>
      <c r="D237" s="64" t="s">
        <v>3</v>
      </c>
      <c r="E237" s="64" t="s">
        <v>3</v>
      </c>
      <c r="F237" s="65">
        <f>F238</f>
        <v>2077214</v>
      </c>
      <c r="G237" s="65"/>
      <c r="I237" s="80"/>
      <c r="L237" s="80"/>
      <c r="M237" s="80"/>
    </row>
    <row r="238" spans="1:13" ht="78.75" outlineLevel="5">
      <c r="A238" s="36" t="s">
        <v>692</v>
      </c>
      <c r="B238" s="64" t="s">
        <v>947</v>
      </c>
      <c r="C238" s="64" t="s">
        <v>70</v>
      </c>
      <c r="D238" s="64" t="s">
        <v>3</v>
      </c>
      <c r="E238" s="64" t="s">
        <v>3</v>
      </c>
      <c r="F238" s="65">
        <f>F239+F240+F241</f>
        <v>2077214</v>
      </c>
      <c r="G238" s="65"/>
      <c r="I238" s="80"/>
      <c r="L238" s="80"/>
      <c r="M238" s="80"/>
    </row>
    <row r="239" spans="1:13" ht="15.75" outlineLevel="5">
      <c r="A239" s="63" t="s">
        <v>676</v>
      </c>
      <c r="B239" s="64" t="s">
        <v>947</v>
      </c>
      <c r="C239" s="64" t="s">
        <v>70</v>
      </c>
      <c r="D239" s="64" t="s">
        <v>239</v>
      </c>
      <c r="E239" s="64" t="s">
        <v>2</v>
      </c>
      <c r="F239" s="65">
        <f>Приложение_6!F593</f>
        <v>1555010</v>
      </c>
      <c r="G239" s="65"/>
      <c r="I239" s="80"/>
      <c r="L239" s="80"/>
      <c r="M239" s="80"/>
    </row>
    <row r="240" spans="1:13" ht="15.75" outlineLevel="5">
      <c r="A240" s="63" t="s">
        <v>677</v>
      </c>
      <c r="B240" s="64" t="s">
        <v>947</v>
      </c>
      <c r="C240" s="64" t="s">
        <v>70</v>
      </c>
      <c r="D240" s="64" t="s">
        <v>239</v>
      </c>
      <c r="E240" s="64" t="s">
        <v>5</v>
      </c>
      <c r="F240" s="65">
        <f>Приложение_6!F644</f>
        <v>52204</v>
      </c>
      <c r="G240" s="65"/>
      <c r="I240" s="80"/>
      <c r="L240" s="80"/>
      <c r="M240" s="80"/>
    </row>
    <row r="241" spans="1:13" ht="31.5" outlineLevel="5">
      <c r="A241" s="63" t="s">
        <v>678</v>
      </c>
      <c r="B241" s="64" t="s">
        <v>947</v>
      </c>
      <c r="C241" s="64" t="s">
        <v>70</v>
      </c>
      <c r="D241" s="64" t="s">
        <v>239</v>
      </c>
      <c r="E241" s="64" t="s">
        <v>14</v>
      </c>
      <c r="F241" s="65">
        <f>Приложение_6!F679</f>
        <v>470000</v>
      </c>
      <c r="G241" s="65"/>
      <c r="I241" s="80"/>
      <c r="L241" s="80"/>
      <c r="M241" s="80"/>
    </row>
    <row r="242" spans="1:13" ht="31.5" outlineLevel="2">
      <c r="A242" s="63" t="s">
        <v>568</v>
      </c>
      <c r="B242" s="64" t="s">
        <v>271</v>
      </c>
      <c r="C242" s="64" t="s">
        <v>1</v>
      </c>
      <c r="D242" s="64" t="s">
        <v>3</v>
      </c>
      <c r="E242" s="64" t="s">
        <v>3</v>
      </c>
      <c r="F242" s="65">
        <f>F243</f>
        <v>3617636</v>
      </c>
      <c r="G242" s="65"/>
      <c r="I242" s="80">
        <v>3617636</v>
      </c>
      <c r="L242" s="80">
        <f t="shared" si="12"/>
        <v>0</v>
      </c>
      <c r="M242" s="80">
        <f t="shared" si="13"/>
        <v>0</v>
      </c>
    </row>
    <row r="243" spans="1:13" ht="31.5" customHeight="1" outlineLevel="3">
      <c r="A243" s="63" t="s">
        <v>441</v>
      </c>
      <c r="B243" s="64" t="s">
        <v>272</v>
      </c>
      <c r="C243" s="64" t="s">
        <v>1</v>
      </c>
      <c r="D243" s="64" t="s">
        <v>3</v>
      </c>
      <c r="E243" s="64" t="s">
        <v>3</v>
      </c>
      <c r="F243" s="65">
        <f>F244</f>
        <v>3617636</v>
      </c>
      <c r="G243" s="65"/>
      <c r="I243" s="80">
        <v>3617636</v>
      </c>
      <c r="L243" s="80">
        <f t="shared" si="12"/>
        <v>0</v>
      </c>
      <c r="M243" s="80">
        <f t="shared" si="13"/>
        <v>0</v>
      </c>
    </row>
    <row r="244" spans="1:13" ht="78.75" outlineLevel="4">
      <c r="A244" s="63" t="s">
        <v>692</v>
      </c>
      <c r="B244" s="64" t="s">
        <v>272</v>
      </c>
      <c r="C244" s="64" t="s">
        <v>70</v>
      </c>
      <c r="D244" s="64" t="s">
        <v>3</v>
      </c>
      <c r="E244" s="64" t="s">
        <v>3</v>
      </c>
      <c r="F244" s="65">
        <f>F245</f>
        <v>3617636</v>
      </c>
      <c r="G244" s="65"/>
      <c r="I244" s="80">
        <v>3617636</v>
      </c>
      <c r="L244" s="80">
        <f t="shared" si="12"/>
        <v>0</v>
      </c>
      <c r="M244" s="80">
        <f t="shared" si="13"/>
        <v>0</v>
      </c>
    </row>
    <row r="245" spans="1:13" ht="15.75" outlineLevel="5">
      <c r="A245" s="63" t="s">
        <v>677</v>
      </c>
      <c r="B245" s="64" t="s">
        <v>272</v>
      </c>
      <c r="C245" s="64" t="s">
        <v>70</v>
      </c>
      <c r="D245" s="64" t="s">
        <v>239</v>
      </c>
      <c r="E245" s="64" t="s">
        <v>5</v>
      </c>
      <c r="F245" s="65">
        <f>Приложение_6!F647</f>
        <v>3617636</v>
      </c>
      <c r="G245" s="65"/>
      <c r="I245" s="80">
        <v>3617636</v>
      </c>
      <c r="L245" s="80">
        <f t="shared" si="12"/>
        <v>0</v>
      </c>
      <c r="M245" s="80">
        <f t="shared" si="13"/>
        <v>0</v>
      </c>
    </row>
    <row r="246" spans="1:13" ht="78.75" outlineLevel="2">
      <c r="A246" s="63" t="s">
        <v>563</v>
      </c>
      <c r="B246" s="64" t="s">
        <v>254</v>
      </c>
      <c r="C246" s="64" t="s">
        <v>1</v>
      </c>
      <c r="D246" s="64" t="s">
        <v>3</v>
      </c>
      <c r="E246" s="64" t="s">
        <v>3</v>
      </c>
      <c r="F246" s="65">
        <f>F251+F247</f>
        <v>2424336.95</v>
      </c>
      <c r="G246" s="65"/>
      <c r="I246" s="80">
        <v>649767</v>
      </c>
      <c r="L246" s="80">
        <f t="shared" si="12"/>
        <v>-1774569.9500000002</v>
      </c>
      <c r="M246" s="80">
        <f t="shared" si="13"/>
        <v>0</v>
      </c>
    </row>
    <row r="247" spans="1:13" ht="63" outlineLevel="2">
      <c r="A247" s="36" t="s">
        <v>456</v>
      </c>
      <c r="B247" s="64" t="s">
        <v>416</v>
      </c>
      <c r="C247" s="64" t="s">
        <v>1</v>
      </c>
      <c r="D247" s="64" t="s">
        <v>3</v>
      </c>
      <c r="E247" s="64" t="s">
        <v>3</v>
      </c>
      <c r="F247" s="65">
        <f>F248</f>
        <v>1532569.82</v>
      </c>
      <c r="G247" s="65"/>
      <c r="I247" s="80"/>
      <c r="L247" s="80"/>
      <c r="M247" s="80"/>
    </row>
    <row r="248" spans="1:13" ht="78.75" outlineLevel="2">
      <c r="A248" s="36" t="s">
        <v>692</v>
      </c>
      <c r="B248" s="64" t="s">
        <v>416</v>
      </c>
      <c r="C248" s="64" t="s">
        <v>70</v>
      </c>
      <c r="D248" s="64" t="s">
        <v>3</v>
      </c>
      <c r="E248" s="64" t="s">
        <v>3</v>
      </c>
      <c r="F248" s="65">
        <f>F250+F249</f>
        <v>1532569.82</v>
      </c>
      <c r="G248" s="65"/>
      <c r="I248" s="80"/>
      <c r="L248" s="80"/>
      <c r="M248" s="80"/>
    </row>
    <row r="249" spans="1:13" ht="15.75" outlineLevel="2">
      <c r="A249" s="36" t="s">
        <v>676</v>
      </c>
      <c r="B249" s="64" t="s">
        <v>416</v>
      </c>
      <c r="C249" s="64" t="s">
        <v>70</v>
      </c>
      <c r="D249" s="64" t="s">
        <v>239</v>
      </c>
      <c r="E249" s="64" t="s">
        <v>2</v>
      </c>
      <c r="F249" s="65">
        <f>Приложение_6!F596</f>
        <v>887050</v>
      </c>
      <c r="G249" s="65"/>
      <c r="I249" s="80"/>
      <c r="L249" s="80"/>
      <c r="M249" s="80"/>
    </row>
    <row r="250" spans="1:13" ht="15.75" outlineLevel="2">
      <c r="A250" s="63" t="s">
        <v>677</v>
      </c>
      <c r="B250" s="64" t="s">
        <v>416</v>
      </c>
      <c r="C250" s="64" t="s">
        <v>70</v>
      </c>
      <c r="D250" s="64" t="s">
        <v>239</v>
      </c>
      <c r="E250" s="64" t="s">
        <v>5</v>
      </c>
      <c r="F250" s="65">
        <f>Приложение_6!F650</f>
        <v>645519.8200000001</v>
      </c>
      <c r="G250" s="65"/>
      <c r="I250" s="80"/>
      <c r="L250" s="80"/>
      <c r="M250" s="80"/>
    </row>
    <row r="251" spans="1:13" ht="31.5" customHeight="1" outlineLevel="3">
      <c r="A251" s="63" t="s">
        <v>441</v>
      </c>
      <c r="B251" s="64" t="s">
        <v>255</v>
      </c>
      <c r="C251" s="64" t="s">
        <v>1</v>
      </c>
      <c r="D251" s="64" t="s">
        <v>3</v>
      </c>
      <c r="E251" s="64" t="s">
        <v>3</v>
      </c>
      <c r="F251" s="65">
        <f>F252</f>
        <v>891767.1299999999</v>
      </c>
      <c r="G251" s="65"/>
      <c r="I251" s="80">
        <v>649767</v>
      </c>
      <c r="L251" s="80">
        <f t="shared" si="12"/>
        <v>-242000.1299999999</v>
      </c>
      <c r="M251" s="80">
        <f t="shared" si="13"/>
        <v>0</v>
      </c>
    </row>
    <row r="252" spans="1:13" ht="78.75" outlineLevel="4">
      <c r="A252" s="63" t="s">
        <v>692</v>
      </c>
      <c r="B252" s="64" t="s">
        <v>255</v>
      </c>
      <c r="C252" s="64" t="s">
        <v>70</v>
      </c>
      <c r="D252" s="64" t="s">
        <v>3</v>
      </c>
      <c r="E252" s="64" t="s">
        <v>3</v>
      </c>
      <c r="F252" s="65">
        <f>F255+F253+F254</f>
        <v>891767.1299999999</v>
      </c>
      <c r="G252" s="65"/>
      <c r="I252" s="80">
        <v>649767</v>
      </c>
      <c r="L252" s="80">
        <f t="shared" si="12"/>
        <v>-242000.1299999999</v>
      </c>
      <c r="M252" s="80">
        <f t="shared" si="13"/>
        <v>0</v>
      </c>
    </row>
    <row r="253" spans="1:13" ht="15.75" outlineLevel="5">
      <c r="A253" s="63" t="s">
        <v>676</v>
      </c>
      <c r="B253" s="64" t="s">
        <v>255</v>
      </c>
      <c r="C253" s="64" t="s">
        <v>70</v>
      </c>
      <c r="D253" s="64" t="s">
        <v>239</v>
      </c>
      <c r="E253" s="64" t="s">
        <v>2</v>
      </c>
      <c r="F253" s="65">
        <f>Приложение_6!F598</f>
        <v>192876.95</v>
      </c>
      <c r="G253" s="65"/>
      <c r="I253" s="80">
        <v>180030</v>
      </c>
      <c r="L253" s="80">
        <f t="shared" si="12"/>
        <v>-12846.950000000012</v>
      </c>
      <c r="M253" s="80">
        <f t="shared" si="13"/>
        <v>0</v>
      </c>
    </row>
    <row r="254" spans="1:13" ht="15.75" outlineLevel="5">
      <c r="A254" s="63" t="s">
        <v>677</v>
      </c>
      <c r="B254" s="64" t="s">
        <v>255</v>
      </c>
      <c r="C254" s="64" t="s">
        <v>70</v>
      </c>
      <c r="D254" s="64" t="s">
        <v>239</v>
      </c>
      <c r="E254" s="64" t="s">
        <v>5</v>
      </c>
      <c r="F254" s="65">
        <f>Приложение_6!F652</f>
        <v>102673.18</v>
      </c>
      <c r="G254" s="65"/>
      <c r="I254" s="80"/>
      <c r="L254" s="80"/>
      <c r="M254" s="80"/>
    </row>
    <row r="255" spans="1:13" ht="31.5" outlineLevel="5">
      <c r="A255" s="63" t="s">
        <v>678</v>
      </c>
      <c r="B255" s="64" t="s">
        <v>255</v>
      </c>
      <c r="C255" s="64" t="s">
        <v>70</v>
      </c>
      <c r="D255" s="64" t="s">
        <v>239</v>
      </c>
      <c r="E255" s="64" t="s">
        <v>14</v>
      </c>
      <c r="F255" s="65">
        <f>Приложение_6!F682</f>
        <v>596217</v>
      </c>
      <c r="G255" s="65"/>
      <c r="I255" s="80">
        <v>469737</v>
      </c>
      <c r="L255" s="80">
        <f t="shared" si="12"/>
        <v>-126480</v>
      </c>
      <c r="M255" s="80">
        <f t="shared" si="13"/>
        <v>0</v>
      </c>
    </row>
    <row r="256" spans="1:13" ht="94.5">
      <c r="A256" s="70" t="s">
        <v>863</v>
      </c>
      <c r="B256" s="71" t="s">
        <v>67</v>
      </c>
      <c r="C256" s="71" t="s">
        <v>1</v>
      </c>
      <c r="D256" s="71" t="s">
        <v>3</v>
      </c>
      <c r="E256" s="71" t="s">
        <v>3</v>
      </c>
      <c r="F256" s="72">
        <f>F257+F264</f>
        <v>928720.79</v>
      </c>
      <c r="G256" s="72"/>
      <c r="I256" s="80">
        <v>928720.79</v>
      </c>
      <c r="L256" s="80">
        <f t="shared" si="12"/>
        <v>0</v>
      </c>
      <c r="M256" s="80">
        <f t="shared" si="13"/>
        <v>0</v>
      </c>
    </row>
    <row r="257" spans="1:13" ht="110.25" outlineLevel="2">
      <c r="A257" s="63" t="s">
        <v>586</v>
      </c>
      <c r="B257" s="64" t="s">
        <v>332</v>
      </c>
      <c r="C257" s="64" t="s">
        <v>1</v>
      </c>
      <c r="D257" s="64" t="s">
        <v>3</v>
      </c>
      <c r="E257" s="64" t="s">
        <v>3</v>
      </c>
      <c r="F257" s="65">
        <f>F258+F261</f>
        <v>609776.79</v>
      </c>
      <c r="G257" s="65"/>
      <c r="I257" s="80">
        <v>609776.79</v>
      </c>
      <c r="L257" s="80">
        <f t="shared" si="12"/>
        <v>0</v>
      </c>
      <c r="M257" s="80">
        <f t="shared" si="13"/>
        <v>0</v>
      </c>
    </row>
    <row r="258" spans="1:13" ht="63" outlineLevel="3">
      <c r="A258" s="63" t="s">
        <v>456</v>
      </c>
      <c r="B258" s="64" t="s">
        <v>333</v>
      </c>
      <c r="C258" s="64" t="s">
        <v>1</v>
      </c>
      <c r="D258" s="64" t="s">
        <v>3</v>
      </c>
      <c r="E258" s="64" t="s">
        <v>3</v>
      </c>
      <c r="F258" s="65">
        <f>F259</f>
        <v>491531.49</v>
      </c>
      <c r="G258" s="65"/>
      <c r="I258" s="80">
        <v>491531.49</v>
      </c>
      <c r="L258" s="80">
        <f t="shared" si="12"/>
        <v>0</v>
      </c>
      <c r="M258" s="80">
        <f t="shared" si="13"/>
        <v>0</v>
      </c>
    </row>
    <row r="259" spans="1:13" ht="78.75" outlineLevel="4">
      <c r="A259" s="63" t="s">
        <v>692</v>
      </c>
      <c r="B259" s="64" t="s">
        <v>333</v>
      </c>
      <c r="C259" s="64" t="s">
        <v>70</v>
      </c>
      <c r="D259" s="64" t="s">
        <v>3</v>
      </c>
      <c r="E259" s="64" t="s">
        <v>3</v>
      </c>
      <c r="F259" s="65">
        <f>F260</f>
        <v>491531.49</v>
      </c>
      <c r="G259" s="65"/>
      <c r="I259" s="80">
        <v>491531.49</v>
      </c>
      <c r="L259" s="80">
        <f t="shared" si="12"/>
        <v>0</v>
      </c>
      <c r="M259" s="80">
        <f t="shared" si="13"/>
        <v>0</v>
      </c>
    </row>
    <row r="260" spans="1:13" ht="15.75" outlineLevel="5">
      <c r="A260" s="63" t="s">
        <v>681</v>
      </c>
      <c r="B260" s="64" t="s">
        <v>333</v>
      </c>
      <c r="C260" s="64" t="s">
        <v>70</v>
      </c>
      <c r="D260" s="64" t="s">
        <v>165</v>
      </c>
      <c r="E260" s="64" t="s">
        <v>2</v>
      </c>
      <c r="F260" s="65">
        <f>Приложение_6!F795</f>
        <v>491531.49</v>
      </c>
      <c r="G260" s="65"/>
      <c r="I260" s="80">
        <v>491531.49</v>
      </c>
      <c r="L260" s="80">
        <f t="shared" si="12"/>
        <v>0</v>
      </c>
      <c r="M260" s="80">
        <f t="shared" si="13"/>
        <v>0</v>
      </c>
    </row>
    <row r="261" spans="1:13" ht="31.5" customHeight="1" outlineLevel="3">
      <c r="A261" s="63" t="s">
        <v>441</v>
      </c>
      <c r="B261" s="64" t="s">
        <v>334</v>
      </c>
      <c r="C261" s="64" t="s">
        <v>1</v>
      </c>
      <c r="D261" s="64" t="s">
        <v>3</v>
      </c>
      <c r="E261" s="64" t="s">
        <v>3</v>
      </c>
      <c r="F261" s="65">
        <f>F262</f>
        <v>118245.3</v>
      </c>
      <c r="G261" s="65"/>
      <c r="I261" s="80">
        <v>118245.3</v>
      </c>
      <c r="L261" s="80">
        <f t="shared" si="12"/>
        <v>0</v>
      </c>
      <c r="M261" s="80">
        <f t="shared" si="13"/>
        <v>0</v>
      </c>
    </row>
    <row r="262" spans="1:13" ht="78.75" outlineLevel="4">
      <c r="A262" s="63" t="s">
        <v>692</v>
      </c>
      <c r="B262" s="64" t="s">
        <v>334</v>
      </c>
      <c r="C262" s="64" t="s">
        <v>70</v>
      </c>
      <c r="D262" s="64" t="s">
        <v>3</v>
      </c>
      <c r="E262" s="64" t="s">
        <v>3</v>
      </c>
      <c r="F262" s="65">
        <f>F263</f>
        <v>118245.3</v>
      </c>
      <c r="G262" s="65"/>
      <c r="I262" s="80">
        <v>118245.3</v>
      </c>
      <c r="L262" s="80">
        <f t="shared" si="12"/>
        <v>0</v>
      </c>
      <c r="M262" s="80">
        <f t="shared" si="13"/>
        <v>0</v>
      </c>
    </row>
    <row r="263" spans="1:13" ht="15.75" outlineLevel="5">
      <c r="A263" s="63" t="s">
        <v>681</v>
      </c>
      <c r="B263" s="64" t="s">
        <v>334</v>
      </c>
      <c r="C263" s="64" t="s">
        <v>70</v>
      </c>
      <c r="D263" s="64" t="s">
        <v>165</v>
      </c>
      <c r="E263" s="64" t="s">
        <v>2</v>
      </c>
      <c r="F263" s="65">
        <f>Приложение_6!F797</f>
        <v>118245.3</v>
      </c>
      <c r="G263" s="65"/>
      <c r="I263" s="80">
        <v>118245.3</v>
      </c>
      <c r="L263" s="80">
        <f t="shared" si="12"/>
        <v>0</v>
      </c>
      <c r="M263" s="80">
        <f t="shared" si="13"/>
        <v>0</v>
      </c>
    </row>
    <row r="264" spans="1:13" ht="94.5" outlineLevel="2">
      <c r="A264" s="63" t="s">
        <v>499</v>
      </c>
      <c r="B264" s="64" t="s">
        <v>68</v>
      </c>
      <c r="C264" s="64" t="s">
        <v>1</v>
      </c>
      <c r="D264" s="64" t="s">
        <v>3</v>
      </c>
      <c r="E264" s="64" t="s">
        <v>3</v>
      </c>
      <c r="F264" s="65">
        <f>F265</f>
        <v>318944</v>
      </c>
      <c r="G264" s="65"/>
      <c r="I264" s="80">
        <v>318944</v>
      </c>
      <c r="L264" s="80">
        <f t="shared" si="12"/>
        <v>0</v>
      </c>
      <c r="M264" s="80">
        <f t="shared" si="13"/>
        <v>0</v>
      </c>
    </row>
    <row r="265" spans="1:13" ht="63" outlineLevel="3">
      <c r="A265" s="63" t="s">
        <v>439</v>
      </c>
      <c r="B265" s="64" t="s">
        <v>69</v>
      </c>
      <c r="C265" s="64" t="s">
        <v>1</v>
      </c>
      <c r="D265" s="64" t="s">
        <v>3</v>
      </c>
      <c r="E265" s="64" t="s">
        <v>3</v>
      </c>
      <c r="F265" s="65">
        <f>F266</f>
        <v>318944</v>
      </c>
      <c r="G265" s="65"/>
      <c r="I265" s="80">
        <v>318944</v>
      </c>
      <c r="L265" s="80">
        <f t="shared" si="12"/>
        <v>0</v>
      </c>
      <c r="M265" s="80">
        <f t="shared" si="13"/>
        <v>0</v>
      </c>
    </row>
    <row r="266" spans="1:13" ht="78.75" outlineLevel="4">
      <c r="A266" s="63" t="s">
        <v>692</v>
      </c>
      <c r="B266" s="64" t="s">
        <v>69</v>
      </c>
      <c r="C266" s="64" t="s">
        <v>70</v>
      </c>
      <c r="D266" s="64" t="s">
        <v>3</v>
      </c>
      <c r="E266" s="64" t="s">
        <v>3</v>
      </c>
      <c r="F266" s="65">
        <f>F267</f>
        <v>318944</v>
      </c>
      <c r="G266" s="65"/>
      <c r="I266" s="80">
        <v>318944</v>
      </c>
      <c r="L266" s="80">
        <f t="shared" si="12"/>
        <v>0</v>
      </c>
      <c r="M266" s="80">
        <f t="shared" si="13"/>
        <v>0</v>
      </c>
    </row>
    <row r="267" spans="1:13" ht="31.5" outlineLevel="5">
      <c r="A267" s="63" t="s">
        <v>664</v>
      </c>
      <c r="B267" s="64" t="s">
        <v>69</v>
      </c>
      <c r="C267" s="64" t="s">
        <v>70</v>
      </c>
      <c r="D267" s="64" t="s">
        <v>2</v>
      </c>
      <c r="E267" s="64" t="s">
        <v>66</v>
      </c>
      <c r="F267" s="65">
        <f>Приложение_6!F156</f>
        <v>318944</v>
      </c>
      <c r="G267" s="65"/>
      <c r="I267" s="80">
        <v>318944</v>
      </c>
      <c r="L267" s="80">
        <f t="shared" si="12"/>
        <v>0</v>
      </c>
      <c r="M267" s="80">
        <f t="shared" si="13"/>
        <v>0</v>
      </c>
    </row>
    <row r="268" spans="1:13" ht="110.25">
      <c r="A268" s="70" t="s">
        <v>862</v>
      </c>
      <c r="B268" s="71" t="s">
        <v>297</v>
      </c>
      <c r="C268" s="71" t="s">
        <v>1</v>
      </c>
      <c r="D268" s="71" t="s">
        <v>3</v>
      </c>
      <c r="E268" s="71" t="s">
        <v>3</v>
      </c>
      <c r="F268" s="72">
        <f>F269+F282+F305</f>
        <v>21304227.52</v>
      </c>
      <c r="G268" s="72"/>
      <c r="I268" s="80">
        <v>21236122</v>
      </c>
      <c r="L268" s="80">
        <f t="shared" si="12"/>
        <v>-68105.51999999955</v>
      </c>
      <c r="M268" s="80">
        <f t="shared" si="13"/>
        <v>0</v>
      </c>
    </row>
    <row r="269" spans="1:13" ht="47.25" outlineLevel="1">
      <c r="A269" s="70" t="s">
        <v>649</v>
      </c>
      <c r="B269" s="71" t="s">
        <v>402</v>
      </c>
      <c r="C269" s="71" t="s">
        <v>1</v>
      </c>
      <c r="D269" s="71" t="s">
        <v>3</v>
      </c>
      <c r="E269" s="71" t="s">
        <v>3</v>
      </c>
      <c r="F269" s="72">
        <f>F270+F276</f>
        <v>1400050</v>
      </c>
      <c r="G269" s="72"/>
      <c r="I269" s="80">
        <v>1400050</v>
      </c>
      <c r="L269" s="80">
        <f t="shared" si="12"/>
        <v>0</v>
      </c>
      <c r="M269" s="80">
        <f t="shared" si="13"/>
        <v>0</v>
      </c>
    </row>
    <row r="270" spans="1:13" ht="78.75" outlineLevel="2">
      <c r="A270" s="63" t="s">
        <v>605</v>
      </c>
      <c r="B270" s="64" t="s">
        <v>403</v>
      </c>
      <c r="C270" s="64" t="s">
        <v>1</v>
      </c>
      <c r="D270" s="64" t="s">
        <v>3</v>
      </c>
      <c r="E270" s="64" t="s">
        <v>3</v>
      </c>
      <c r="F270" s="65">
        <f>F271</f>
        <v>835992.8</v>
      </c>
      <c r="G270" s="65"/>
      <c r="I270" s="80">
        <v>880050</v>
      </c>
      <c r="L270" s="80">
        <f t="shared" si="12"/>
        <v>44057.19999999995</v>
      </c>
      <c r="M270" s="80">
        <f t="shared" si="13"/>
        <v>0</v>
      </c>
    </row>
    <row r="271" spans="1:13" ht="31.5" customHeight="1" outlineLevel="3">
      <c r="A271" s="63" t="s">
        <v>441</v>
      </c>
      <c r="B271" s="64" t="s">
        <v>404</v>
      </c>
      <c r="C271" s="64" t="s">
        <v>1</v>
      </c>
      <c r="D271" s="64" t="s">
        <v>3</v>
      </c>
      <c r="E271" s="64" t="s">
        <v>3</v>
      </c>
      <c r="F271" s="65">
        <f>F272+F274</f>
        <v>835992.8</v>
      </c>
      <c r="G271" s="65"/>
      <c r="I271" s="80">
        <v>880050</v>
      </c>
      <c r="L271" s="80">
        <f t="shared" si="12"/>
        <v>44057.19999999995</v>
      </c>
      <c r="M271" s="80">
        <f t="shared" si="13"/>
        <v>0</v>
      </c>
    </row>
    <row r="272" spans="1:13" ht="141.75" outlineLevel="4">
      <c r="A272" s="63" t="s">
        <v>856</v>
      </c>
      <c r="B272" s="64" t="s">
        <v>404</v>
      </c>
      <c r="C272" s="64" t="s">
        <v>10</v>
      </c>
      <c r="D272" s="64" t="s">
        <v>3</v>
      </c>
      <c r="E272" s="64" t="s">
        <v>3</v>
      </c>
      <c r="F272" s="65">
        <f>F273</f>
        <v>202942.8</v>
      </c>
      <c r="G272" s="65"/>
      <c r="I272" s="80">
        <v>300000</v>
      </c>
      <c r="L272" s="80">
        <f t="shared" si="12"/>
        <v>97057.20000000001</v>
      </c>
      <c r="M272" s="80">
        <f t="shared" si="13"/>
        <v>0</v>
      </c>
    </row>
    <row r="273" spans="1:13" ht="31.5" outlineLevel="5">
      <c r="A273" s="63" t="s">
        <v>685</v>
      </c>
      <c r="B273" s="64" t="s">
        <v>404</v>
      </c>
      <c r="C273" s="64" t="s">
        <v>10</v>
      </c>
      <c r="D273" s="64" t="s">
        <v>63</v>
      </c>
      <c r="E273" s="64" t="s">
        <v>2</v>
      </c>
      <c r="F273" s="65">
        <f>Приложение_6!F951</f>
        <v>202942.8</v>
      </c>
      <c r="G273" s="65"/>
      <c r="I273" s="80">
        <v>300000</v>
      </c>
      <c r="L273" s="80">
        <f t="shared" si="12"/>
        <v>97057.20000000001</v>
      </c>
      <c r="M273" s="80">
        <f t="shared" si="13"/>
        <v>0</v>
      </c>
    </row>
    <row r="274" spans="1:13" ht="63" outlineLevel="4">
      <c r="A274" s="63" t="s">
        <v>689</v>
      </c>
      <c r="B274" s="64" t="s">
        <v>404</v>
      </c>
      <c r="C274" s="64" t="s">
        <v>17</v>
      </c>
      <c r="D274" s="64" t="s">
        <v>3</v>
      </c>
      <c r="E274" s="64" t="s">
        <v>3</v>
      </c>
      <c r="F274" s="65">
        <f>F275</f>
        <v>633050</v>
      </c>
      <c r="G274" s="65"/>
      <c r="I274" s="80">
        <v>580050</v>
      </c>
      <c r="L274" s="80">
        <f t="shared" si="12"/>
        <v>-53000</v>
      </c>
      <c r="M274" s="80">
        <f t="shared" si="13"/>
        <v>0</v>
      </c>
    </row>
    <row r="275" spans="1:13" ht="31.5" outlineLevel="5">
      <c r="A275" s="63" t="s">
        <v>685</v>
      </c>
      <c r="B275" s="64" t="s">
        <v>404</v>
      </c>
      <c r="C275" s="64" t="s">
        <v>17</v>
      </c>
      <c r="D275" s="64" t="s">
        <v>63</v>
      </c>
      <c r="E275" s="64" t="s">
        <v>2</v>
      </c>
      <c r="F275" s="65">
        <f>Приложение_6!F952</f>
        <v>633050</v>
      </c>
      <c r="G275" s="65"/>
      <c r="I275" s="80">
        <v>580050</v>
      </c>
      <c r="L275" s="80">
        <f t="shared" si="12"/>
        <v>-53000</v>
      </c>
      <c r="M275" s="80">
        <f t="shared" si="13"/>
        <v>0</v>
      </c>
    </row>
    <row r="276" spans="1:13" ht="110.25" outlineLevel="2">
      <c r="A276" s="63" t="s">
        <v>606</v>
      </c>
      <c r="B276" s="64" t="s">
        <v>405</v>
      </c>
      <c r="C276" s="64" t="s">
        <v>1</v>
      </c>
      <c r="D276" s="64" t="s">
        <v>3</v>
      </c>
      <c r="E276" s="64" t="s">
        <v>3</v>
      </c>
      <c r="F276" s="65">
        <f>F277</f>
        <v>564057.2</v>
      </c>
      <c r="G276" s="65"/>
      <c r="I276" s="80">
        <v>520000</v>
      </c>
      <c r="L276" s="80">
        <f t="shared" si="12"/>
        <v>-44057.19999999995</v>
      </c>
      <c r="M276" s="80">
        <f t="shared" si="13"/>
        <v>0</v>
      </c>
    </row>
    <row r="277" spans="1:13" ht="31.5" customHeight="1" outlineLevel="3">
      <c r="A277" s="63" t="s">
        <v>441</v>
      </c>
      <c r="B277" s="64" t="s">
        <v>406</v>
      </c>
      <c r="C277" s="64" t="s">
        <v>1</v>
      </c>
      <c r="D277" s="64" t="s">
        <v>3</v>
      </c>
      <c r="E277" s="64" t="s">
        <v>3</v>
      </c>
      <c r="F277" s="65">
        <f>F278+F280</f>
        <v>564057.2</v>
      </c>
      <c r="G277" s="65"/>
      <c r="I277" s="80">
        <v>520000</v>
      </c>
      <c r="L277" s="80">
        <f t="shared" si="12"/>
        <v>-44057.19999999995</v>
      </c>
      <c r="M277" s="80">
        <f t="shared" si="13"/>
        <v>0</v>
      </c>
    </row>
    <row r="278" spans="1:13" ht="141.75" outlineLevel="4">
      <c r="A278" s="63" t="s">
        <v>856</v>
      </c>
      <c r="B278" s="64" t="s">
        <v>406</v>
      </c>
      <c r="C278" s="64" t="s">
        <v>10</v>
      </c>
      <c r="D278" s="64" t="s">
        <v>3</v>
      </c>
      <c r="E278" s="64" t="s">
        <v>3</v>
      </c>
      <c r="F278" s="65">
        <f>F279</f>
        <v>292104</v>
      </c>
      <c r="G278" s="65"/>
      <c r="I278" s="80">
        <v>240000</v>
      </c>
      <c r="L278" s="80">
        <f t="shared" si="12"/>
        <v>-52104</v>
      </c>
      <c r="M278" s="80">
        <f t="shared" si="13"/>
        <v>0</v>
      </c>
    </row>
    <row r="279" spans="1:13" ht="31.5" outlineLevel="5">
      <c r="A279" s="63" t="s">
        <v>685</v>
      </c>
      <c r="B279" s="64" t="s">
        <v>406</v>
      </c>
      <c r="C279" s="64" t="s">
        <v>10</v>
      </c>
      <c r="D279" s="64" t="s">
        <v>63</v>
      </c>
      <c r="E279" s="64" t="s">
        <v>2</v>
      </c>
      <c r="F279" s="65">
        <f>Приложение_6!F955</f>
        <v>292104</v>
      </c>
      <c r="G279" s="65"/>
      <c r="I279" s="80">
        <v>240000</v>
      </c>
      <c r="L279" s="80">
        <f t="shared" si="12"/>
        <v>-52104</v>
      </c>
      <c r="M279" s="80">
        <f t="shared" si="13"/>
        <v>0</v>
      </c>
    </row>
    <row r="280" spans="1:13" ht="63" outlineLevel="4">
      <c r="A280" s="63" t="s">
        <v>689</v>
      </c>
      <c r="B280" s="64" t="s">
        <v>406</v>
      </c>
      <c r="C280" s="64" t="s">
        <v>17</v>
      </c>
      <c r="D280" s="64" t="s">
        <v>3</v>
      </c>
      <c r="E280" s="64" t="s">
        <v>3</v>
      </c>
      <c r="F280" s="65">
        <f>F281</f>
        <v>271953.2</v>
      </c>
      <c r="G280" s="65"/>
      <c r="I280" s="80">
        <v>280000</v>
      </c>
      <c r="L280" s="80">
        <f t="shared" si="12"/>
        <v>8046.799999999988</v>
      </c>
      <c r="M280" s="80">
        <f t="shared" si="13"/>
        <v>0</v>
      </c>
    </row>
    <row r="281" spans="1:13" ht="31.5" outlineLevel="5">
      <c r="A281" s="63" t="s">
        <v>685</v>
      </c>
      <c r="B281" s="64" t="s">
        <v>406</v>
      </c>
      <c r="C281" s="64" t="s">
        <v>17</v>
      </c>
      <c r="D281" s="64" t="s">
        <v>63</v>
      </c>
      <c r="E281" s="64" t="s">
        <v>2</v>
      </c>
      <c r="F281" s="65">
        <f>Приложение_6!F956</f>
        <v>271953.2</v>
      </c>
      <c r="G281" s="65"/>
      <c r="I281" s="80">
        <v>280000</v>
      </c>
      <c r="L281" s="80">
        <f t="shared" si="12"/>
        <v>8046.799999999988</v>
      </c>
      <c r="M281" s="80">
        <f t="shared" si="13"/>
        <v>0</v>
      </c>
    </row>
    <row r="282" spans="1:13" ht="31.5" customHeight="1" outlineLevel="1">
      <c r="A282" s="70" t="s">
        <v>641</v>
      </c>
      <c r="B282" s="71" t="s">
        <v>298</v>
      </c>
      <c r="C282" s="71" t="s">
        <v>1</v>
      </c>
      <c r="D282" s="71" t="s">
        <v>3</v>
      </c>
      <c r="E282" s="71" t="s">
        <v>3</v>
      </c>
      <c r="F282" s="72">
        <f>F283+F289+F297+F301</f>
        <v>846250</v>
      </c>
      <c r="G282" s="72"/>
      <c r="I282" s="80">
        <v>846250</v>
      </c>
      <c r="L282" s="80">
        <f t="shared" si="12"/>
        <v>0</v>
      </c>
      <c r="M282" s="80">
        <f t="shared" si="13"/>
        <v>0</v>
      </c>
    </row>
    <row r="283" spans="1:13" ht="78.75" outlineLevel="2">
      <c r="A283" s="63" t="s">
        <v>574</v>
      </c>
      <c r="B283" s="64" t="s">
        <v>299</v>
      </c>
      <c r="C283" s="64" t="s">
        <v>1</v>
      </c>
      <c r="D283" s="64" t="s">
        <v>3</v>
      </c>
      <c r="E283" s="64" t="s">
        <v>3</v>
      </c>
      <c r="F283" s="65">
        <f>F284</f>
        <v>436250</v>
      </c>
      <c r="G283" s="65"/>
      <c r="I283" s="80">
        <v>436250</v>
      </c>
      <c r="L283" s="80">
        <f t="shared" si="12"/>
        <v>0</v>
      </c>
      <c r="M283" s="80">
        <f t="shared" si="13"/>
        <v>0</v>
      </c>
    </row>
    <row r="284" spans="1:13" ht="31.5" customHeight="1" outlineLevel="3">
      <c r="A284" s="63" t="s">
        <v>441</v>
      </c>
      <c r="B284" s="64" t="s">
        <v>300</v>
      </c>
      <c r="C284" s="64" t="s">
        <v>1</v>
      </c>
      <c r="D284" s="64" t="s">
        <v>3</v>
      </c>
      <c r="E284" s="64" t="s">
        <v>3</v>
      </c>
      <c r="F284" s="65">
        <f>F285+F287</f>
        <v>436250</v>
      </c>
      <c r="G284" s="65"/>
      <c r="I284" s="80">
        <v>436250</v>
      </c>
      <c r="L284" s="80">
        <f t="shared" si="12"/>
        <v>0</v>
      </c>
      <c r="M284" s="80">
        <f t="shared" si="13"/>
        <v>0</v>
      </c>
    </row>
    <row r="285" spans="1:13" ht="63" outlineLevel="4">
      <c r="A285" s="63" t="s">
        <v>689</v>
      </c>
      <c r="B285" s="64" t="s">
        <v>300</v>
      </c>
      <c r="C285" s="64" t="s">
        <v>17</v>
      </c>
      <c r="D285" s="64" t="s">
        <v>3</v>
      </c>
      <c r="E285" s="64" t="s">
        <v>3</v>
      </c>
      <c r="F285" s="65">
        <f>F286</f>
        <v>236250</v>
      </c>
      <c r="G285" s="65"/>
      <c r="I285" s="80">
        <v>236250</v>
      </c>
      <c r="L285" s="80">
        <f t="shared" si="12"/>
        <v>0</v>
      </c>
      <c r="M285" s="80">
        <f t="shared" si="13"/>
        <v>0</v>
      </c>
    </row>
    <row r="286" spans="1:13" ht="15.75" outlineLevel="5">
      <c r="A286" s="63" t="s">
        <v>679</v>
      </c>
      <c r="B286" s="64" t="s">
        <v>300</v>
      </c>
      <c r="C286" s="64" t="s">
        <v>17</v>
      </c>
      <c r="D286" s="64" t="s">
        <v>239</v>
      </c>
      <c r="E286" s="64" t="s">
        <v>239</v>
      </c>
      <c r="F286" s="65">
        <f>Приложение_6!F726</f>
        <v>236250</v>
      </c>
      <c r="G286" s="65"/>
      <c r="I286" s="80">
        <v>236250</v>
      </c>
      <c r="L286" s="80">
        <f t="shared" si="12"/>
        <v>0</v>
      </c>
      <c r="M286" s="80">
        <f t="shared" si="13"/>
        <v>0</v>
      </c>
    </row>
    <row r="287" spans="1:13" ht="78.75" outlineLevel="4">
      <c r="A287" s="63" t="s">
        <v>692</v>
      </c>
      <c r="B287" s="64" t="s">
        <v>300</v>
      </c>
      <c r="C287" s="64" t="s">
        <v>70</v>
      </c>
      <c r="D287" s="64" t="s">
        <v>3</v>
      </c>
      <c r="E287" s="64" t="s">
        <v>3</v>
      </c>
      <c r="F287" s="65">
        <f>F288</f>
        <v>200000</v>
      </c>
      <c r="G287" s="65"/>
      <c r="I287" s="80">
        <v>200000</v>
      </c>
      <c r="L287" s="80">
        <f t="shared" si="12"/>
        <v>0</v>
      </c>
      <c r="M287" s="80">
        <f t="shared" si="13"/>
        <v>0</v>
      </c>
    </row>
    <row r="288" spans="1:13" ht="15.75" outlineLevel="5">
      <c r="A288" s="63" t="s">
        <v>679</v>
      </c>
      <c r="B288" s="64" t="s">
        <v>300</v>
      </c>
      <c r="C288" s="64" t="s">
        <v>70</v>
      </c>
      <c r="D288" s="64" t="s">
        <v>239</v>
      </c>
      <c r="E288" s="64" t="s">
        <v>239</v>
      </c>
      <c r="F288" s="65">
        <f>Приложение_6!F727</f>
        <v>200000</v>
      </c>
      <c r="G288" s="65"/>
      <c r="I288" s="80">
        <v>200000</v>
      </c>
      <c r="L288" s="80">
        <f t="shared" si="12"/>
        <v>0</v>
      </c>
      <c r="M288" s="80">
        <f t="shared" si="13"/>
        <v>0</v>
      </c>
    </row>
    <row r="289" spans="1:13" ht="141.75" customHeight="1" outlineLevel="2">
      <c r="A289" s="63" t="s">
        <v>575</v>
      </c>
      <c r="B289" s="64" t="s">
        <v>301</v>
      </c>
      <c r="C289" s="64" t="s">
        <v>1</v>
      </c>
      <c r="D289" s="64" t="s">
        <v>3</v>
      </c>
      <c r="E289" s="64" t="s">
        <v>3</v>
      </c>
      <c r="F289" s="65">
        <f>F290</f>
        <v>105000</v>
      </c>
      <c r="G289" s="65"/>
      <c r="I289" s="80">
        <v>105000</v>
      </c>
      <c r="L289" s="80">
        <f t="shared" si="12"/>
        <v>0</v>
      </c>
      <c r="M289" s="80">
        <f t="shared" si="13"/>
        <v>0</v>
      </c>
    </row>
    <row r="290" spans="1:13" ht="31.5" customHeight="1" outlineLevel="3">
      <c r="A290" s="63" t="s">
        <v>441</v>
      </c>
      <c r="B290" s="64" t="s">
        <v>302</v>
      </c>
      <c r="C290" s="64" t="s">
        <v>1</v>
      </c>
      <c r="D290" s="64" t="s">
        <v>3</v>
      </c>
      <c r="E290" s="64" t="s">
        <v>3</v>
      </c>
      <c r="F290" s="65">
        <f>F291+F293+F295</f>
        <v>105000</v>
      </c>
      <c r="G290" s="65"/>
      <c r="I290" s="80">
        <v>105000</v>
      </c>
      <c r="L290" s="80">
        <f t="shared" si="12"/>
        <v>0</v>
      </c>
      <c r="M290" s="80">
        <f t="shared" si="13"/>
        <v>0</v>
      </c>
    </row>
    <row r="291" spans="1:13" ht="141.75" outlineLevel="4">
      <c r="A291" s="63" t="s">
        <v>856</v>
      </c>
      <c r="B291" s="64" t="s">
        <v>302</v>
      </c>
      <c r="C291" s="64" t="s">
        <v>10</v>
      </c>
      <c r="D291" s="64" t="s">
        <v>3</v>
      </c>
      <c r="E291" s="64" t="s">
        <v>3</v>
      </c>
      <c r="F291" s="65">
        <f>F292</f>
        <v>30000</v>
      </c>
      <c r="G291" s="65"/>
      <c r="I291" s="80">
        <v>30000</v>
      </c>
      <c r="L291" s="80">
        <f t="shared" si="12"/>
        <v>0</v>
      </c>
      <c r="M291" s="80">
        <f t="shared" si="13"/>
        <v>0</v>
      </c>
    </row>
    <row r="292" spans="1:13" ht="15.75" outlineLevel="5">
      <c r="A292" s="63" t="s">
        <v>679</v>
      </c>
      <c r="B292" s="64" t="s">
        <v>302</v>
      </c>
      <c r="C292" s="64" t="s">
        <v>10</v>
      </c>
      <c r="D292" s="64" t="s">
        <v>239</v>
      </c>
      <c r="E292" s="64" t="s">
        <v>239</v>
      </c>
      <c r="F292" s="65">
        <f>Приложение_6!F730</f>
        <v>30000</v>
      </c>
      <c r="G292" s="65"/>
      <c r="I292" s="80">
        <v>30000</v>
      </c>
      <c r="L292" s="80">
        <f t="shared" si="12"/>
        <v>0</v>
      </c>
      <c r="M292" s="80">
        <f t="shared" si="13"/>
        <v>0</v>
      </c>
    </row>
    <row r="293" spans="1:13" ht="63" outlineLevel="4">
      <c r="A293" s="63" t="s">
        <v>689</v>
      </c>
      <c r="B293" s="64" t="s">
        <v>302</v>
      </c>
      <c r="C293" s="64" t="s">
        <v>17</v>
      </c>
      <c r="D293" s="64" t="s">
        <v>3</v>
      </c>
      <c r="E293" s="64" t="s">
        <v>3</v>
      </c>
      <c r="F293" s="65">
        <f>F294</f>
        <v>30000</v>
      </c>
      <c r="G293" s="65"/>
      <c r="I293" s="80">
        <v>30000</v>
      </c>
      <c r="L293" s="80">
        <f t="shared" si="12"/>
        <v>0</v>
      </c>
      <c r="M293" s="80">
        <f t="shared" si="13"/>
        <v>0</v>
      </c>
    </row>
    <row r="294" spans="1:13" ht="15.75" outlineLevel="5">
      <c r="A294" s="63" t="s">
        <v>679</v>
      </c>
      <c r="B294" s="64" t="s">
        <v>302</v>
      </c>
      <c r="C294" s="64" t="s">
        <v>17</v>
      </c>
      <c r="D294" s="64" t="s">
        <v>239</v>
      </c>
      <c r="E294" s="64" t="s">
        <v>239</v>
      </c>
      <c r="F294" s="65">
        <f>Приложение_6!F731</f>
        <v>30000</v>
      </c>
      <c r="G294" s="65"/>
      <c r="I294" s="80">
        <v>30000</v>
      </c>
      <c r="L294" s="80">
        <f t="shared" si="12"/>
        <v>0</v>
      </c>
      <c r="M294" s="80">
        <f t="shared" si="13"/>
        <v>0</v>
      </c>
    </row>
    <row r="295" spans="1:13" ht="78.75" outlineLevel="4">
      <c r="A295" s="63" t="s">
        <v>692</v>
      </c>
      <c r="B295" s="64" t="s">
        <v>302</v>
      </c>
      <c r="C295" s="64" t="s">
        <v>70</v>
      </c>
      <c r="D295" s="64" t="s">
        <v>3</v>
      </c>
      <c r="E295" s="64" t="s">
        <v>3</v>
      </c>
      <c r="F295" s="65">
        <f>F296</f>
        <v>45000</v>
      </c>
      <c r="G295" s="65"/>
      <c r="I295" s="80">
        <v>45000</v>
      </c>
      <c r="L295" s="80">
        <f t="shared" si="12"/>
        <v>0</v>
      </c>
      <c r="M295" s="80">
        <f t="shared" si="13"/>
        <v>0</v>
      </c>
    </row>
    <row r="296" spans="1:13" ht="15.75" outlineLevel="5">
      <c r="A296" s="63" t="s">
        <v>679</v>
      </c>
      <c r="B296" s="64" t="s">
        <v>302</v>
      </c>
      <c r="C296" s="64" t="s">
        <v>70</v>
      </c>
      <c r="D296" s="64" t="s">
        <v>239</v>
      </c>
      <c r="E296" s="64" t="s">
        <v>239</v>
      </c>
      <c r="F296" s="65">
        <f>Приложение_6!F732</f>
        <v>45000</v>
      </c>
      <c r="G296" s="65"/>
      <c r="I296" s="80">
        <v>45000</v>
      </c>
      <c r="L296" s="80">
        <f t="shared" si="12"/>
        <v>0</v>
      </c>
      <c r="M296" s="80">
        <f t="shared" si="13"/>
        <v>0</v>
      </c>
    </row>
    <row r="297" spans="1:13" ht="63" outlineLevel="2">
      <c r="A297" s="63" t="s">
        <v>576</v>
      </c>
      <c r="B297" s="64" t="s">
        <v>303</v>
      </c>
      <c r="C297" s="64" t="s">
        <v>1</v>
      </c>
      <c r="D297" s="64" t="s">
        <v>3</v>
      </c>
      <c r="E297" s="64" t="s">
        <v>3</v>
      </c>
      <c r="F297" s="65">
        <f>F298</f>
        <v>5000</v>
      </c>
      <c r="G297" s="65"/>
      <c r="I297" s="80">
        <v>5000</v>
      </c>
      <c r="L297" s="80">
        <f t="shared" si="12"/>
        <v>0</v>
      </c>
      <c r="M297" s="80">
        <f t="shared" si="13"/>
        <v>0</v>
      </c>
    </row>
    <row r="298" spans="1:13" ht="31.5" customHeight="1" outlineLevel="3">
      <c r="A298" s="63" t="s">
        <v>441</v>
      </c>
      <c r="B298" s="64" t="s">
        <v>304</v>
      </c>
      <c r="C298" s="64" t="s">
        <v>1</v>
      </c>
      <c r="D298" s="64" t="s">
        <v>3</v>
      </c>
      <c r="E298" s="64" t="s">
        <v>3</v>
      </c>
      <c r="F298" s="65">
        <f>F299</f>
        <v>5000</v>
      </c>
      <c r="G298" s="65"/>
      <c r="I298" s="80">
        <v>5000</v>
      </c>
      <c r="L298" s="80">
        <f aca="true" t="shared" si="15" ref="L298:L364">I298-F298</f>
        <v>0</v>
      </c>
      <c r="M298" s="80">
        <f aca="true" t="shared" si="16" ref="M298:M364">J298-G298</f>
        <v>0</v>
      </c>
    </row>
    <row r="299" spans="1:13" ht="63" outlineLevel="4">
      <c r="A299" s="63" t="s">
        <v>689</v>
      </c>
      <c r="B299" s="64" t="s">
        <v>304</v>
      </c>
      <c r="C299" s="64" t="s">
        <v>17</v>
      </c>
      <c r="D299" s="64" t="s">
        <v>3</v>
      </c>
      <c r="E299" s="64" t="s">
        <v>3</v>
      </c>
      <c r="F299" s="65">
        <f>F300</f>
        <v>5000</v>
      </c>
      <c r="G299" s="65"/>
      <c r="I299" s="80">
        <v>5000</v>
      </c>
      <c r="L299" s="80">
        <f t="shared" si="15"/>
        <v>0</v>
      </c>
      <c r="M299" s="80">
        <f t="shared" si="16"/>
        <v>0</v>
      </c>
    </row>
    <row r="300" spans="1:13" ht="15.75" outlineLevel="5">
      <c r="A300" s="63" t="s">
        <v>679</v>
      </c>
      <c r="B300" s="64" t="s">
        <v>304</v>
      </c>
      <c r="C300" s="64" t="s">
        <v>17</v>
      </c>
      <c r="D300" s="64" t="s">
        <v>239</v>
      </c>
      <c r="E300" s="64" t="s">
        <v>239</v>
      </c>
      <c r="F300" s="65">
        <f>Приложение_6!F735</f>
        <v>5000</v>
      </c>
      <c r="G300" s="65"/>
      <c r="I300" s="80">
        <v>5000</v>
      </c>
      <c r="L300" s="80">
        <f t="shared" si="15"/>
        <v>0</v>
      </c>
      <c r="M300" s="80">
        <f t="shared" si="16"/>
        <v>0</v>
      </c>
    </row>
    <row r="301" spans="1:13" ht="63" outlineLevel="2">
      <c r="A301" s="63" t="s">
        <v>577</v>
      </c>
      <c r="B301" s="64" t="s">
        <v>305</v>
      </c>
      <c r="C301" s="64" t="s">
        <v>1</v>
      </c>
      <c r="D301" s="64" t="s">
        <v>3</v>
      </c>
      <c r="E301" s="64" t="s">
        <v>3</v>
      </c>
      <c r="F301" s="65">
        <f>F302</f>
        <v>300000</v>
      </c>
      <c r="G301" s="65"/>
      <c r="I301" s="80">
        <v>300000</v>
      </c>
      <c r="L301" s="80">
        <f t="shared" si="15"/>
        <v>0</v>
      </c>
      <c r="M301" s="80">
        <f t="shared" si="16"/>
        <v>0</v>
      </c>
    </row>
    <row r="302" spans="1:13" ht="47.25" outlineLevel="3">
      <c r="A302" s="63" t="s">
        <v>469</v>
      </c>
      <c r="B302" s="64" t="s">
        <v>306</v>
      </c>
      <c r="C302" s="64" t="s">
        <v>1</v>
      </c>
      <c r="D302" s="64" t="s">
        <v>3</v>
      </c>
      <c r="E302" s="64" t="s">
        <v>3</v>
      </c>
      <c r="F302" s="65">
        <f>F303</f>
        <v>300000</v>
      </c>
      <c r="G302" s="65"/>
      <c r="I302" s="80">
        <v>300000</v>
      </c>
      <c r="L302" s="80">
        <f t="shared" si="15"/>
        <v>0</v>
      </c>
      <c r="M302" s="80">
        <f t="shared" si="16"/>
        <v>0</v>
      </c>
    </row>
    <row r="303" spans="1:13" ht="31.5" outlineLevel="4">
      <c r="A303" s="63" t="s">
        <v>690</v>
      </c>
      <c r="B303" s="64" t="s">
        <v>306</v>
      </c>
      <c r="C303" s="64" t="s">
        <v>47</v>
      </c>
      <c r="D303" s="64" t="s">
        <v>3</v>
      </c>
      <c r="E303" s="64" t="s">
        <v>3</v>
      </c>
      <c r="F303" s="65">
        <f>F304</f>
        <v>300000</v>
      </c>
      <c r="G303" s="65"/>
      <c r="I303" s="80">
        <v>300000</v>
      </c>
      <c r="L303" s="80">
        <f t="shared" si="15"/>
        <v>0</v>
      </c>
      <c r="M303" s="80">
        <f t="shared" si="16"/>
        <v>0</v>
      </c>
    </row>
    <row r="304" spans="1:13" ht="15.75" outlineLevel="5">
      <c r="A304" s="63" t="s">
        <v>679</v>
      </c>
      <c r="B304" s="64" t="s">
        <v>306</v>
      </c>
      <c r="C304" s="64" t="s">
        <v>47</v>
      </c>
      <c r="D304" s="64" t="s">
        <v>239</v>
      </c>
      <c r="E304" s="64" t="s">
        <v>239</v>
      </c>
      <c r="F304" s="65">
        <f>Приложение_6!F738</f>
        <v>300000</v>
      </c>
      <c r="G304" s="65"/>
      <c r="I304" s="80">
        <v>300000</v>
      </c>
      <c r="L304" s="80">
        <f t="shared" si="15"/>
        <v>0</v>
      </c>
      <c r="M304" s="80">
        <f t="shared" si="16"/>
        <v>0</v>
      </c>
    </row>
    <row r="305" spans="1:13" ht="47.25" outlineLevel="1">
      <c r="A305" s="70" t="s">
        <v>642</v>
      </c>
      <c r="B305" s="71" t="s">
        <v>307</v>
      </c>
      <c r="C305" s="71" t="s">
        <v>1</v>
      </c>
      <c r="D305" s="71" t="s">
        <v>3</v>
      </c>
      <c r="E305" s="71" t="s">
        <v>3</v>
      </c>
      <c r="F305" s="72">
        <f>F306+F310+F314</f>
        <v>19057927.52</v>
      </c>
      <c r="G305" s="72"/>
      <c r="I305" s="80">
        <v>18989822</v>
      </c>
      <c r="L305" s="80">
        <f t="shared" si="15"/>
        <v>-68105.51999999955</v>
      </c>
      <c r="M305" s="80">
        <f t="shared" si="16"/>
        <v>0</v>
      </c>
    </row>
    <row r="306" spans="1:13" ht="157.5" customHeight="1" outlineLevel="2">
      <c r="A306" s="63" t="s">
        <v>578</v>
      </c>
      <c r="B306" s="64" t="s">
        <v>308</v>
      </c>
      <c r="C306" s="64" t="s">
        <v>1</v>
      </c>
      <c r="D306" s="64" t="s">
        <v>3</v>
      </c>
      <c r="E306" s="64" t="s">
        <v>3</v>
      </c>
      <c r="F306" s="65">
        <f>F307</f>
        <v>75972</v>
      </c>
      <c r="G306" s="65"/>
      <c r="I306" s="80">
        <v>75972</v>
      </c>
      <c r="L306" s="80">
        <f t="shared" si="15"/>
        <v>0</v>
      </c>
      <c r="M306" s="80">
        <f t="shared" si="16"/>
        <v>0</v>
      </c>
    </row>
    <row r="307" spans="1:13" ht="126" outlineLevel="3">
      <c r="A307" s="63" t="s">
        <v>443</v>
      </c>
      <c r="B307" s="64" t="s">
        <v>309</v>
      </c>
      <c r="C307" s="64" t="s">
        <v>1</v>
      </c>
      <c r="D307" s="64" t="s">
        <v>3</v>
      </c>
      <c r="E307" s="64" t="s">
        <v>3</v>
      </c>
      <c r="F307" s="65">
        <f>F308</f>
        <v>75972</v>
      </c>
      <c r="G307" s="65"/>
      <c r="I307" s="80">
        <v>75972</v>
      </c>
      <c r="L307" s="80">
        <f t="shared" si="15"/>
        <v>0</v>
      </c>
      <c r="M307" s="80">
        <f t="shared" si="16"/>
        <v>0</v>
      </c>
    </row>
    <row r="308" spans="1:13" ht="78.75" outlineLevel="4">
      <c r="A308" s="63" t="s">
        <v>692</v>
      </c>
      <c r="B308" s="64" t="s">
        <v>309</v>
      </c>
      <c r="C308" s="64" t="s">
        <v>70</v>
      </c>
      <c r="D308" s="64" t="s">
        <v>3</v>
      </c>
      <c r="E308" s="64" t="s">
        <v>3</v>
      </c>
      <c r="F308" s="65">
        <f>F309</f>
        <v>75972</v>
      </c>
      <c r="G308" s="65"/>
      <c r="I308" s="80">
        <v>75972</v>
      </c>
      <c r="L308" s="80">
        <f t="shared" si="15"/>
        <v>0</v>
      </c>
      <c r="M308" s="80">
        <f t="shared" si="16"/>
        <v>0</v>
      </c>
    </row>
    <row r="309" spans="1:13" ht="15.75" outlineLevel="5">
      <c r="A309" s="63" t="s">
        <v>679</v>
      </c>
      <c r="B309" s="64" t="s">
        <v>309</v>
      </c>
      <c r="C309" s="64" t="s">
        <v>70</v>
      </c>
      <c r="D309" s="64" t="s">
        <v>239</v>
      </c>
      <c r="E309" s="64" t="s">
        <v>239</v>
      </c>
      <c r="F309" s="65">
        <f>Приложение_6!F742</f>
        <v>75972</v>
      </c>
      <c r="G309" s="65"/>
      <c r="I309" s="80">
        <v>75972</v>
      </c>
      <c r="L309" s="80">
        <f t="shared" si="15"/>
        <v>0</v>
      </c>
      <c r="M309" s="80">
        <f t="shared" si="16"/>
        <v>0</v>
      </c>
    </row>
    <row r="310" spans="1:13" ht="220.5" outlineLevel="2">
      <c r="A310" s="63" t="s">
        <v>579</v>
      </c>
      <c r="B310" s="64" t="s">
        <v>310</v>
      </c>
      <c r="C310" s="64" t="s">
        <v>1</v>
      </c>
      <c r="D310" s="64" t="s">
        <v>3</v>
      </c>
      <c r="E310" s="64" t="s">
        <v>3</v>
      </c>
      <c r="F310" s="65">
        <f>F311</f>
        <v>18708017</v>
      </c>
      <c r="G310" s="65"/>
      <c r="I310" s="80">
        <v>18708017</v>
      </c>
      <c r="L310" s="80">
        <f t="shared" si="15"/>
        <v>0</v>
      </c>
      <c r="M310" s="80">
        <f t="shared" si="16"/>
        <v>0</v>
      </c>
    </row>
    <row r="311" spans="1:13" ht="126" outlineLevel="3">
      <c r="A311" s="63" t="s">
        <v>443</v>
      </c>
      <c r="B311" s="64" t="s">
        <v>311</v>
      </c>
      <c r="C311" s="64" t="s">
        <v>1</v>
      </c>
      <c r="D311" s="64" t="s">
        <v>3</v>
      </c>
      <c r="E311" s="64" t="s">
        <v>3</v>
      </c>
      <c r="F311" s="65">
        <f>F312</f>
        <v>18708017</v>
      </c>
      <c r="G311" s="65"/>
      <c r="I311" s="80">
        <v>18708017</v>
      </c>
      <c r="L311" s="80">
        <f t="shared" si="15"/>
        <v>0</v>
      </c>
      <c r="M311" s="80">
        <f t="shared" si="16"/>
        <v>0</v>
      </c>
    </row>
    <row r="312" spans="1:13" ht="78.75" outlineLevel="4">
      <c r="A312" s="63" t="s">
        <v>692</v>
      </c>
      <c r="B312" s="64" t="s">
        <v>311</v>
      </c>
      <c r="C312" s="64" t="s">
        <v>70</v>
      </c>
      <c r="D312" s="64" t="s">
        <v>3</v>
      </c>
      <c r="E312" s="64" t="s">
        <v>3</v>
      </c>
      <c r="F312" s="65">
        <f>F313</f>
        <v>18708017</v>
      </c>
      <c r="G312" s="65"/>
      <c r="I312" s="80">
        <v>18708017</v>
      </c>
      <c r="L312" s="80">
        <f t="shared" si="15"/>
        <v>0</v>
      </c>
      <c r="M312" s="80">
        <f t="shared" si="16"/>
        <v>0</v>
      </c>
    </row>
    <row r="313" spans="1:13" ht="15.75" outlineLevel="5">
      <c r="A313" s="63" t="s">
        <v>679</v>
      </c>
      <c r="B313" s="64" t="s">
        <v>311</v>
      </c>
      <c r="C313" s="64" t="s">
        <v>70</v>
      </c>
      <c r="D313" s="64" t="s">
        <v>239</v>
      </c>
      <c r="E313" s="64" t="s">
        <v>239</v>
      </c>
      <c r="F313" s="65">
        <f>Приложение_6!F745</f>
        <v>18708017</v>
      </c>
      <c r="G313" s="65"/>
      <c r="I313" s="80">
        <v>18708017</v>
      </c>
      <c r="L313" s="80">
        <f t="shared" si="15"/>
        <v>0</v>
      </c>
      <c r="M313" s="80">
        <f t="shared" si="16"/>
        <v>0</v>
      </c>
    </row>
    <row r="314" spans="1:13" ht="31.5" outlineLevel="2">
      <c r="A314" s="63" t="s">
        <v>560</v>
      </c>
      <c r="B314" s="64" t="s">
        <v>312</v>
      </c>
      <c r="C314" s="64" t="s">
        <v>1</v>
      </c>
      <c r="D314" s="64" t="s">
        <v>3</v>
      </c>
      <c r="E314" s="64" t="s">
        <v>3</v>
      </c>
      <c r="F314" s="65">
        <f>F315</f>
        <v>273938.52</v>
      </c>
      <c r="G314" s="65"/>
      <c r="I314" s="80">
        <v>205833</v>
      </c>
      <c r="L314" s="80">
        <f t="shared" si="15"/>
        <v>-68105.52000000002</v>
      </c>
      <c r="M314" s="80">
        <f t="shared" si="16"/>
        <v>0</v>
      </c>
    </row>
    <row r="315" spans="1:13" ht="126" outlineLevel="3">
      <c r="A315" s="63" t="s">
        <v>432</v>
      </c>
      <c r="B315" s="64" t="s">
        <v>313</v>
      </c>
      <c r="C315" s="64" t="s">
        <v>1</v>
      </c>
      <c r="D315" s="64" t="s">
        <v>3</v>
      </c>
      <c r="E315" s="64" t="s">
        <v>3</v>
      </c>
      <c r="F315" s="65">
        <f>F316</f>
        <v>273938.52</v>
      </c>
      <c r="G315" s="65"/>
      <c r="I315" s="80">
        <v>205833</v>
      </c>
      <c r="L315" s="80">
        <f t="shared" si="15"/>
        <v>-68105.52000000002</v>
      </c>
      <c r="M315" s="80">
        <f t="shared" si="16"/>
        <v>0</v>
      </c>
    </row>
    <row r="316" spans="1:13" ht="78.75" outlineLevel="4">
      <c r="A316" s="63" t="s">
        <v>692</v>
      </c>
      <c r="B316" s="64" t="s">
        <v>313</v>
      </c>
      <c r="C316" s="64" t="s">
        <v>70</v>
      </c>
      <c r="D316" s="64" t="s">
        <v>3</v>
      </c>
      <c r="E316" s="64" t="s">
        <v>3</v>
      </c>
      <c r="F316" s="65">
        <f>F317</f>
        <v>273938.52</v>
      </c>
      <c r="G316" s="65"/>
      <c r="I316" s="80">
        <v>205833</v>
      </c>
      <c r="L316" s="80">
        <f t="shared" si="15"/>
        <v>-68105.52000000002</v>
      </c>
      <c r="M316" s="80">
        <f t="shared" si="16"/>
        <v>0</v>
      </c>
    </row>
    <row r="317" spans="1:13" ht="15.75" outlineLevel="5">
      <c r="A317" s="63" t="s">
        <v>679</v>
      </c>
      <c r="B317" s="64" t="s">
        <v>313</v>
      </c>
      <c r="C317" s="64" t="s">
        <v>70</v>
      </c>
      <c r="D317" s="64" t="s">
        <v>239</v>
      </c>
      <c r="E317" s="64" t="s">
        <v>239</v>
      </c>
      <c r="F317" s="65">
        <f>Приложение_6!F748</f>
        <v>273938.52</v>
      </c>
      <c r="G317" s="65"/>
      <c r="I317" s="80">
        <v>205833</v>
      </c>
      <c r="L317" s="80">
        <f t="shared" si="15"/>
        <v>-68105.52000000002</v>
      </c>
      <c r="M317" s="80">
        <f t="shared" si="16"/>
        <v>0</v>
      </c>
    </row>
    <row r="318" spans="1:13" ht="94.5">
      <c r="A318" s="70" t="s">
        <v>861</v>
      </c>
      <c r="B318" s="71" t="s">
        <v>279</v>
      </c>
      <c r="C318" s="71" t="s">
        <v>1</v>
      </c>
      <c r="D318" s="71" t="s">
        <v>3</v>
      </c>
      <c r="E318" s="71" t="s">
        <v>3</v>
      </c>
      <c r="F318" s="72">
        <f>F319+F373+F412+F441</f>
        <v>279353391.51</v>
      </c>
      <c r="G318" s="72">
        <f>G319+G373+G412+G441</f>
        <v>19482898.59</v>
      </c>
      <c r="I318" s="80">
        <v>260034795</v>
      </c>
      <c r="J318" s="80">
        <v>19398888.08</v>
      </c>
      <c r="L318" s="80">
        <f t="shared" si="15"/>
        <v>-19318596.50999999</v>
      </c>
      <c r="M318" s="80">
        <f t="shared" si="16"/>
        <v>-84010.51000000164</v>
      </c>
    </row>
    <row r="319" spans="1:13" ht="78.75" outlineLevel="1">
      <c r="A319" s="70" t="s">
        <v>639</v>
      </c>
      <c r="B319" s="71" t="s">
        <v>280</v>
      </c>
      <c r="C319" s="71" t="s">
        <v>1</v>
      </c>
      <c r="D319" s="71" t="s">
        <v>3</v>
      </c>
      <c r="E319" s="71" t="s">
        <v>3</v>
      </c>
      <c r="F319" s="72">
        <f>F320+F326+F336+F346+F350+F363</f>
        <v>187864123.19</v>
      </c>
      <c r="G319" s="72">
        <f>G320+G326+G336+G346+G350+G363</f>
        <v>12867408.13</v>
      </c>
      <c r="I319" s="80">
        <v>187676145.84</v>
      </c>
      <c r="J319" s="80">
        <v>12823941.08</v>
      </c>
      <c r="L319" s="80">
        <f t="shared" si="15"/>
        <v>-187977.34999999404</v>
      </c>
      <c r="M319" s="80">
        <f t="shared" si="16"/>
        <v>-43467.050000000745</v>
      </c>
    </row>
    <row r="320" spans="1:13" ht="63" outlineLevel="2">
      <c r="A320" s="63" t="s">
        <v>587</v>
      </c>
      <c r="B320" s="64" t="s">
        <v>335</v>
      </c>
      <c r="C320" s="64" t="s">
        <v>1</v>
      </c>
      <c r="D320" s="64" t="s">
        <v>3</v>
      </c>
      <c r="E320" s="64" t="s">
        <v>3</v>
      </c>
      <c r="F320" s="65">
        <f>F321</f>
        <v>4923720</v>
      </c>
      <c r="G320" s="65"/>
      <c r="I320" s="80">
        <v>4923720</v>
      </c>
      <c r="L320" s="80">
        <f t="shared" si="15"/>
        <v>0</v>
      </c>
      <c r="M320" s="80">
        <f t="shared" si="16"/>
        <v>0</v>
      </c>
    </row>
    <row r="321" spans="1:13" ht="31.5" customHeight="1" outlineLevel="3">
      <c r="A321" s="63" t="s">
        <v>441</v>
      </c>
      <c r="B321" s="64" t="s">
        <v>336</v>
      </c>
      <c r="C321" s="64" t="s">
        <v>1</v>
      </c>
      <c r="D321" s="64" t="s">
        <v>3</v>
      </c>
      <c r="E321" s="64" t="s">
        <v>3</v>
      </c>
      <c r="F321" s="65">
        <f>F322+F324</f>
        <v>4923720</v>
      </c>
      <c r="G321" s="65"/>
      <c r="I321" s="80">
        <v>4923720</v>
      </c>
      <c r="L321" s="80">
        <f t="shared" si="15"/>
        <v>0</v>
      </c>
      <c r="M321" s="80">
        <f t="shared" si="16"/>
        <v>0</v>
      </c>
    </row>
    <row r="322" spans="1:13" ht="63" outlineLevel="4">
      <c r="A322" s="63" t="s">
        <v>689</v>
      </c>
      <c r="B322" s="64" t="s">
        <v>336</v>
      </c>
      <c r="C322" s="64" t="s">
        <v>17</v>
      </c>
      <c r="D322" s="64" t="s">
        <v>3</v>
      </c>
      <c r="E322" s="64" t="s">
        <v>3</v>
      </c>
      <c r="F322" s="65">
        <f>F323</f>
        <v>1512720</v>
      </c>
      <c r="G322" s="65"/>
      <c r="I322" s="80">
        <v>2262720</v>
      </c>
      <c r="L322" s="80">
        <f t="shared" si="15"/>
        <v>750000</v>
      </c>
      <c r="M322" s="80">
        <f t="shared" si="16"/>
        <v>0</v>
      </c>
    </row>
    <row r="323" spans="1:13" ht="15.75" outlineLevel="5">
      <c r="A323" s="63" t="s">
        <v>681</v>
      </c>
      <c r="B323" s="64" t="s">
        <v>336</v>
      </c>
      <c r="C323" s="64" t="s">
        <v>17</v>
      </c>
      <c r="D323" s="64" t="s">
        <v>165</v>
      </c>
      <c r="E323" s="64" t="s">
        <v>2</v>
      </c>
      <c r="F323" s="65">
        <f>Приложение_6!F802</f>
        <v>1512720</v>
      </c>
      <c r="G323" s="65"/>
      <c r="I323" s="80">
        <v>2262720</v>
      </c>
      <c r="L323" s="80">
        <f t="shared" si="15"/>
        <v>750000</v>
      </c>
      <c r="M323" s="80">
        <f t="shared" si="16"/>
        <v>0</v>
      </c>
    </row>
    <row r="324" spans="1:13" ht="78.75" outlineLevel="4">
      <c r="A324" s="63" t="s">
        <v>692</v>
      </c>
      <c r="B324" s="64" t="s">
        <v>336</v>
      </c>
      <c r="C324" s="64" t="s">
        <v>70</v>
      </c>
      <c r="D324" s="64" t="s">
        <v>3</v>
      </c>
      <c r="E324" s="64" t="s">
        <v>3</v>
      </c>
      <c r="F324" s="65">
        <f>F325</f>
        <v>3411000</v>
      </c>
      <c r="G324" s="65"/>
      <c r="I324" s="80">
        <v>2661000</v>
      </c>
      <c r="L324" s="80">
        <f t="shared" si="15"/>
        <v>-750000</v>
      </c>
      <c r="M324" s="80">
        <f t="shared" si="16"/>
        <v>0</v>
      </c>
    </row>
    <row r="325" spans="1:13" ht="15.75" outlineLevel="5">
      <c r="A325" s="63" t="s">
        <v>681</v>
      </c>
      <c r="B325" s="64" t="s">
        <v>336</v>
      </c>
      <c r="C325" s="64" t="s">
        <v>70</v>
      </c>
      <c r="D325" s="64" t="s">
        <v>165</v>
      </c>
      <c r="E325" s="64" t="s">
        <v>2</v>
      </c>
      <c r="F325" s="65">
        <f>Приложение_6!F803</f>
        <v>3411000</v>
      </c>
      <c r="G325" s="65"/>
      <c r="I325" s="80">
        <v>2661000</v>
      </c>
      <c r="L325" s="80">
        <f t="shared" si="15"/>
        <v>-750000</v>
      </c>
      <c r="M325" s="80">
        <f t="shared" si="16"/>
        <v>0</v>
      </c>
    </row>
    <row r="326" spans="1:13" ht="31.5" outlineLevel="2">
      <c r="A326" s="63" t="s">
        <v>570</v>
      </c>
      <c r="B326" s="64" t="s">
        <v>281</v>
      </c>
      <c r="C326" s="64" t="s">
        <v>1</v>
      </c>
      <c r="D326" s="64" t="s">
        <v>3</v>
      </c>
      <c r="E326" s="64" t="s">
        <v>3</v>
      </c>
      <c r="F326" s="65">
        <f>F327+F330+F333</f>
        <v>43300440.22</v>
      </c>
      <c r="G326" s="65">
        <f>G332</f>
        <v>544827.14</v>
      </c>
      <c r="I326" s="80">
        <v>43300440.22</v>
      </c>
      <c r="J326" s="80">
        <v>544827.14</v>
      </c>
      <c r="L326" s="80">
        <f t="shared" si="15"/>
        <v>0</v>
      </c>
      <c r="M326" s="80">
        <f t="shared" si="16"/>
        <v>0</v>
      </c>
    </row>
    <row r="327" spans="1:13" ht="126" outlineLevel="3">
      <c r="A327" s="63" t="s">
        <v>443</v>
      </c>
      <c r="B327" s="64" t="s">
        <v>282</v>
      </c>
      <c r="C327" s="64" t="s">
        <v>1</v>
      </c>
      <c r="D327" s="64" t="s">
        <v>3</v>
      </c>
      <c r="E327" s="64" t="s">
        <v>3</v>
      </c>
      <c r="F327" s="65">
        <f>F328</f>
        <v>41030262.86</v>
      </c>
      <c r="G327" s="65"/>
      <c r="I327" s="80">
        <v>41030262.86</v>
      </c>
      <c r="L327" s="80">
        <f t="shared" si="15"/>
        <v>0</v>
      </c>
      <c r="M327" s="80">
        <f t="shared" si="16"/>
        <v>0</v>
      </c>
    </row>
    <row r="328" spans="1:13" ht="78.75" outlineLevel="4">
      <c r="A328" s="63" t="s">
        <v>692</v>
      </c>
      <c r="B328" s="64" t="s">
        <v>282</v>
      </c>
      <c r="C328" s="64" t="s">
        <v>70</v>
      </c>
      <c r="D328" s="64" t="s">
        <v>3</v>
      </c>
      <c r="E328" s="64" t="s">
        <v>3</v>
      </c>
      <c r="F328" s="65">
        <f>F329</f>
        <v>41030262.86</v>
      </c>
      <c r="G328" s="65"/>
      <c r="I328" s="80">
        <v>41030262.86</v>
      </c>
      <c r="L328" s="80">
        <f t="shared" si="15"/>
        <v>0</v>
      </c>
      <c r="M328" s="80">
        <f t="shared" si="16"/>
        <v>0</v>
      </c>
    </row>
    <row r="329" spans="1:13" ht="31.5" outlineLevel="5">
      <c r="A329" s="63" t="s">
        <v>678</v>
      </c>
      <c r="B329" s="64" t="s">
        <v>282</v>
      </c>
      <c r="C329" s="64" t="s">
        <v>70</v>
      </c>
      <c r="D329" s="64" t="s">
        <v>239</v>
      </c>
      <c r="E329" s="64" t="s">
        <v>14</v>
      </c>
      <c r="F329" s="65">
        <f>Приложение_6!F687</f>
        <v>41030262.86</v>
      </c>
      <c r="G329" s="65"/>
      <c r="I329" s="80">
        <v>41030262.86</v>
      </c>
      <c r="L329" s="80">
        <f t="shared" si="15"/>
        <v>0</v>
      </c>
      <c r="M329" s="80">
        <f t="shared" si="16"/>
        <v>0</v>
      </c>
    </row>
    <row r="330" spans="1:13" ht="126" outlineLevel="3">
      <c r="A330" s="63" t="s">
        <v>465</v>
      </c>
      <c r="B330" s="64" t="s">
        <v>283</v>
      </c>
      <c r="C330" s="64" t="s">
        <v>1</v>
      </c>
      <c r="D330" s="64" t="s">
        <v>3</v>
      </c>
      <c r="E330" s="64" t="s">
        <v>3</v>
      </c>
      <c r="F330" s="65">
        <f>F331</f>
        <v>544827.14</v>
      </c>
      <c r="G330" s="65">
        <v>544827.14</v>
      </c>
      <c r="I330" s="80">
        <v>544827.14</v>
      </c>
      <c r="J330" s="80">
        <v>544827.14</v>
      </c>
      <c r="L330" s="80">
        <f t="shared" si="15"/>
        <v>0</v>
      </c>
      <c r="M330" s="80">
        <f t="shared" si="16"/>
        <v>0</v>
      </c>
    </row>
    <row r="331" spans="1:13" ht="78.75" outlineLevel="4">
      <c r="A331" s="63" t="s">
        <v>692</v>
      </c>
      <c r="B331" s="64" t="s">
        <v>283</v>
      </c>
      <c r="C331" s="64" t="s">
        <v>70</v>
      </c>
      <c r="D331" s="64" t="s">
        <v>3</v>
      </c>
      <c r="E331" s="64" t="s">
        <v>3</v>
      </c>
      <c r="F331" s="65">
        <f>F332</f>
        <v>544827.14</v>
      </c>
      <c r="G331" s="65">
        <v>544827.14</v>
      </c>
      <c r="I331" s="80">
        <v>544827.14</v>
      </c>
      <c r="J331" s="80">
        <v>544827.14</v>
      </c>
      <c r="L331" s="80">
        <f t="shared" si="15"/>
        <v>0</v>
      </c>
      <c r="M331" s="80">
        <f t="shared" si="16"/>
        <v>0</v>
      </c>
    </row>
    <row r="332" spans="1:13" ht="31.5" outlineLevel="5">
      <c r="A332" s="63" t="s">
        <v>678</v>
      </c>
      <c r="B332" s="64" t="s">
        <v>283</v>
      </c>
      <c r="C332" s="64" t="s">
        <v>70</v>
      </c>
      <c r="D332" s="64" t="s">
        <v>239</v>
      </c>
      <c r="E332" s="64" t="s">
        <v>14</v>
      </c>
      <c r="F332" s="65">
        <f>Приложение_6!F689</f>
        <v>544827.14</v>
      </c>
      <c r="G332" s="65">
        <v>544827.14</v>
      </c>
      <c r="I332" s="80">
        <v>544827.14</v>
      </c>
      <c r="J332" s="80">
        <v>544827.14</v>
      </c>
      <c r="L332" s="80">
        <f t="shared" si="15"/>
        <v>0</v>
      </c>
      <c r="M332" s="80">
        <f t="shared" si="16"/>
        <v>0</v>
      </c>
    </row>
    <row r="333" spans="1:13" ht="126" outlineLevel="3">
      <c r="A333" s="63" t="s">
        <v>465</v>
      </c>
      <c r="B333" s="64" t="s">
        <v>284</v>
      </c>
      <c r="C333" s="64" t="s">
        <v>1</v>
      </c>
      <c r="D333" s="64" t="s">
        <v>3</v>
      </c>
      <c r="E333" s="64" t="s">
        <v>3</v>
      </c>
      <c r="F333" s="65">
        <f>F334</f>
        <v>1725350.22</v>
      </c>
      <c r="G333" s="65"/>
      <c r="I333" s="80">
        <v>1725350.22</v>
      </c>
      <c r="L333" s="80">
        <f t="shared" si="15"/>
        <v>0</v>
      </c>
      <c r="M333" s="80">
        <f t="shared" si="16"/>
        <v>0</v>
      </c>
    </row>
    <row r="334" spans="1:13" ht="78.75" outlineLevel="4">
      <c r="A334" s="63" t="s">
        <v>692</v>
      </c>
      <c r="B334" s="64" t="s">
        <v>284</v>
      </c>
      <c r="C334" s="64" t="s">
        <v>70</v>
      </c>
      <c r="D334" s="64" t="s">
        <v>3</v>
      </c>
      <c r="E334" s="64" t="s">
        <v>3</v>
      </c>
      <c r="F334" s="65">
        <f>F335</f>
        <v>1725350.22</v>
      </c>
      <c r="G334" s="65"/>
      <c r="I334" s="80">
        <v>1725350.22</v>
      </c>
      <c r="L334" s="80">
        <f t="shared" si="15"/>
        <v>0</v>
      </c>
      <c r="M334" s="80">
        <f t="shared" si="16"/>
        <v>0</v>
      </c>
    </row>
    <row r="335" spans="1:13" ht="31.5" outlineLevel="5">
      <c r="A335" s="63" t="s">
        <v>678</v>
      </c>
      <c r="B335" s="64" t="s">
        <v>284</v>
      </c>
      <c r="C335" s="64" t="s">
        <v>70</v>
      </c>
      <c r="D335" s="64" t="s">
        <v>239</v>
      </c>
      <c r="E335" s="64" t="s">
        <v>14</v>
      </c>
      <c r="F335" s="65">
        <f>Приложение_6!F691</f>
        <v>1725350.22</v>
      </c>
      <c r="G335" s="65"/>
      <c r="I335" s="80">
        <v>1725350.22</v>
      </c>
      <c r="L335" s="80">
        <f t="shared" si="15"/>
        <v>0</v>
      </c>
      <c r="M335" s="80">
        <f t="shared" si="16"/>
        <v>0</v>
      </c>
    </row>
    <row r="336" spans="1:13" ht="63" outlineLevel="2">
      <c r="A336" s="63" t="s">
        <v>571</v>
      </c>
      <c r="B336" s="64" t="s">
        <v>285</v>
      </c>
      <c r="C336" s="64" t="s">
        <v>1</v>
      </c>
      <c r="D336" s="64" t="s">
        <v>3</v>
      </c>
      <c r="E336" s="64" t="s">
        <v>3</v>
      </c>
      <c r="F336" s="65">
        <f>F337+F340+F343</f>
        <v>20043383.910000004</v>
      </c>
      <c r="G336" s="65">
        <f>G342</f>
        <v>244777.42</v>
      </c>
      <c r="I336" s="80">
        <v>20043383.91</v>
      </c>
      <c r="J336" s="80">
        <v>244777.42</v>
      </c>
      <c r="L336" s="80">
        <f t="shared" si="15"/>
        <v>0</v>
      </c>
      <c r="M336" s="80">
        <f t="shared" si="16"/>
        <v>0</v>
      </c>
    </row>
    <row r="337" spans="1:13" ht="126" outlineLevel="3">
      <c r="A337" s="63" t="s">
        <v>443</v>
      </c>
      <c r="B337" s="64" t="s">
        <v>286</v>
      </c>
      <c r="C337" s="64" t="s">
        <v>1</v>
      </c>
      <c r="D337" s="64" t="s">
        <v>3</v>
      </c>
      <c r="E337" s="64" t="s">
        <v>3</v>
      </c>
      <c r="F337" s="65">
        <f>F338</f>
        <v>19023449.14</v>
      </c>
      <c r="G337" s="65"/>
      <c r="I337" s="80">
        <v>19023449.14</v>
      </c>
      <c r="L337" s="80">
        <f t="shared" si="15"/>
        <v>0</v>
      </c>
      <c r="M337" s="80">
        <f t="shared" si="16"/>
        <v>0</v>
      </c>
    </row>
    <row r="338" spans="1:13" ht="78.75" outlineLevel="4">
      <c r="A338" s="63" t="s">
        <v>692</v>
      </c>
      <c r="B338" s="64" t="s">
        <v>286</v>
      </c>
      <c r="C338" s="64" t="s">
        <v>70</v>
      </c>
      <c r="D338" s="64" t="s">
        <v>3</v>
      </c>
      <c r="E338" s="64" t="s">
        <v>3</v>
      </c>
      <c r="F338" s="65">
        <f>F339</f>
        <v>19023449.14</v>
      </c>
      <c r="G338" s="65"/>
      <c r="I338" s="80">
        <v>19023449.14</v>
      </c>
      <c r="L338" s="80">
        <f t="shared" si="15"/>
        <v>0</v>
      </c>
      <c r="M338" s="80">
        <f t="shared" si="16"/>
        <v>0</v>
      </c>
    </row>
    <row r="339" spans="1:13" ht="31.5" outlineLevel="5">
      <c r="A339" s="63" t="s">
        <v>678</v>
      </c>
      <c r="B339" s="64" t="s">
        <v>286</v>
      </c>
      <c r="C339" s="64" t="s">
        <v>70</v>
      </c>
      <c r="D339" s="64" t="s">
        <v>239</v>
      </c>
      <c r="E339" s="64" t="s">
        <v>14</v>
      </c>
      <c r="F339" s="65">
        <f>Приложение_6!F694</f>
        <v>19023449.14</v>
      </c>
      <c r="G339" s="65"/>
      <c r="I339" s="80">
        <v>19023449.14</v>
      </c>
      <c r="L339" s="80">
        <f t="shared" si="15"/>
        <v>0</v>
      </c>
      <c r="M339" s="80">
        <f t="shared" si="16"/>
        <v>0</v>
      </c>
    </row>
    <row r="340" spans="1:13" ht="126" outlineLevel="3">
      <c r="A340" s="63" t="s">
        <v>465</v>
      </c>
      <c r="B340" s="64" t="s">
        <v>287</v>
      </c>
      <c r="C340" s="64" t="s">
        <v>1</v>
      </c>
      <c r="D340" s="64" t="s">
        <v>3</v>
      </c>
      <c r="E340" s="64" t="s">
        <v>3</v>
      </c>
      <c r="F340" s="65">
        <f>F341</f>
        <v>244777.42</v>
      </c>
      <c r="G340" s="65">
        <f>G341</f>
        <v>244777.42</v>
      </c>
      <c r="I340" s="80">
        <v>244777.42</v>
      </c>
      <c r="J340" s="80">
        <v>244777.42</v>
      </c>
      <c r="L340" s="80">
        <f t="shared" si="15"/>
        <v>0</v>
      </c>
      <c r="M340" s="80">
        <f t="shared" si="16"/>
        <v>0</v>
      </c>
    </row>
    <row r="341" spans="1:13" ht="78.75" outlineLevel="4">
      <c r="A341" s="63" t="s">
        <v>692</v>
      </c>
      <c r="B341" s="64" t="s">
        <v>287</v>
      </c>
      <c r="C341" s="64" t="s">
        <v>70</v>
      </c>
      <c r="D341" s="64" t="s">
        <v>3</v>
      </c>
      <c r="E341" s="64" t="s">
        <v>3</v>
      </c>
      <c r="F341" s="65">
        <f>F342</f>
        <v>244777.42</v>
      </c>
      <c r="G341" s="65">
        <f>G342</f>
        <v>244777.42</v>
      </c>
      <c r="I341" s="80">
        <v>244777.42</v>
      </c>
      <c r="J341" s="80">
        <v>244777.42</v>
      </c>
      <c r="L341" s="80">
        <f t="shared" si="15"/>
        <v>0</v>
      </c>
      <c r="M341" s="80">
        <f t="shared" si="16"/>
        <v>0</v>
      </c>
    </row>
    <row r="342" spans="1:13" ht="31.5" outlineLevel="5">
      <c r="A342" s="63" t="s">
        <v>678</v>
      </c>
      <c r="B342" s="64" t="s">
        <v>287</v>
      </c>
      <c r="C342" s="64" t="s">
        <v>70</v>
      </c>
      <c r="D342" s="64" t="s">
        <v>239</v>
      </c>
      <c r="E342" s="64" t="s">
        <v>14</v>
      </c>
      <c r="F342" s="65">
        <f>Приложение_6!F696</f>
        <v>244777.42</v>
      </c>
      <c r="G342" s="65">
        <f>F342</f>
        <v>244777.42</v>
      </c>
      <c r="I342" s="80">
        <v>244777.42</v>
      </c>
      <c r="J342" s="80">
        <v>244777.42</v>
      </c>
      <c r="L342" s="80">
        <f t="shared" si="15"/>
        <v>0</v>
      </c>
      <c r="M342" s="80">
        <f t="shared" si="16"/>
        <v>0</v>
      </c>
    </row>
    <row r="343" spans="1:13" ht="126" outlineLevel="3">
      <c r="A343" s="63" t="s">
        <v>465</v>
      </c>
      <c r="B343" s="64" t="s">
        <v>288</v>
      </c>
      <c r="C343" s="64" t="s">
        <v>1</v>
      </c>
      <c r="D343" s="64" t="s">
        <v>3</v>
      </c>
      <c r="E343" s="64" t="s">
        <v>3</v>
      </c>
      <c r="F343" s="65">
        <f>F344</f>
        <v>775157.35</v>
      </c>
      <c r="G343" s="65"/>
      <c r="I343" s="80">
        <v>775157.35</v>
      </c>
      <c r="L343" s="80">
        <f t="shared" si="15"/>
        <v>0</v>
      </c>
      <c r="M343" s="80">
        <f t="shared" si="16"/>
        <v>0</v>
      </c>
    </row>
    <row r="344" spans="1:13" ht="78.75" outlineLevel="4">
      <c r="A344" s="63" t="s">
        <v>692</v>
      </c>
      <c r="B344" s="64" t="s">
        <v>288</v>
      </c>
      <c r="C344" s="64" t="s">
        <v>70</v>
      </c>
      <c r="D344" s="64" t="s">
        <v>3</v>
      </c>
      <c r="E344" s="64" t="s">
        <v>3</v>
      </c>
      <c r="F344" s="65">
        <f>F345</f>
        <v>775157.35</v>
      </c>
      <c r="G344" s="65"/>
      <c r="I344" s="80">
        <v>775157.35</v>
      </c>
      <c r="L344" s="80">
        <f t="shared" si="15"/>
        <v>0</v>
      </c>
      <c r="M344" s="80">
        <f t="shared" si="16"/>
        <v>0</v>
      </c>
    </row>
    <row r="345" spans="1:13" ht="31.5" outlineLevel="5">
      <c r="A345" s="63" t="s">
        <v>678</v>
      </c>
      <c r="B345" s="64" t="s">
        <v>288</v>
      </c>
      <c r="C345" s="64" t="s">
        <v>70</v>
      </c>
      <c r="D345" s="64" t="s">
        <v>239</v>
      </c>
      <c r="E345" s="64" t="s">
        <v>14</v>
      </c>
      <c r="F345" s="65">
        <f>Приложение_6!F698</f>
        <v>775157.35</v>
      </c>
      <c r="G345" s="65"/>
      <c r="I345" s="80">
        <v>775157.35</v>
      </c>
      <c r="L345" s="80">
        <f t="shared" si="15"/>
        <v>0</v>
      </c>
      <c r="M345" s="80">
        <f t="shared" si="16"/>
        <v>0</v>
      </c>
    </row>
    <row r="346" spans="1:13" ht="31.5" outlineLevel="2">
      <c r="A346" s="63" t="s">
        <v>560</v>
      </c>
      <c r="B346" s="64" t="s">
        <v>289</v>
      </c>
      <c r="C346" s="64" t="s">
        <v>1</v>
      </c>
      <c r="D346" s="64" t="s">
        <v>3</v>
      </c>
      <c r="E346" s="64" t="s">
        <v>3</v>
      </c>
      <c r="F346" s="65">
        <f>F347</f>
        <v>1043305.03</v>
      </c>
      <c r="G346" s="65"/>
      <c r="I346" s="80">
        <v>1032524</v>
      </c>
      <c r="L346" s="80">
        <f t="shared" si="15"/>
        <v>-10781.030000000028</v>
      </c>
      <c r="M346" s="80">
        <f t="shared" si="16"/>
        <v>0</v>
      </c>
    </row>
    <row r="347" spans="1:13" ht="126" outlineLevel="3">
      <c r="A347" s="63" t="s">
        <v>432</v>
      </c>
      <c r="B347" s="64" t="s">
        <v>290</v>
      </c>
      <c r="C347" s="64" t="s">
        <v>1</v>
      </c>
      <c r="D347" s="64" t="s">
        <v>3</v>
      </c>
      <c r="E347" s="64" t="s">
        <v>3</v>
      </c>
      <c r="F347" s="65">
        <f>F348</f>
        <v>1043305.03</v>
      </c>
      <c r="G347" s="65"/>
      <c r="I347" s="80">
        <v>1032524</v>
      </c>
      <c r="L347" s="80">
        <f t="shared" si="15"/>
        <v>-10781.030000000028</v>
      </c>
      <c r="M347" s="80">
        <f t="shared" si="16"/>
        <v>0</v>
      </c>
    </row>
    <row r="348" spans="1:13" ht="78.75" outlineLevel="4">
      <c r="A348" s="63" t="s">
        <v>692</v>
      </c>
      <c r="B348" s="64" t="s">
        <v>290</v>
      </c>
      <c r="C348" s="64" t="s">
        <v>70</v>
      </c>
      <c r="D348" s="64" t="s">
        <v>3</v>
      </c>
      <c r="E348" s="64" t="s">
        <v>3</v>
      </c>
      <c r="F348" s="65">
        <f>F349</f>
        <v>1043305.03</v>
      </c>
      <c r="G348" s="65"/>
      <c r="I348" s="80">
        <v>1032524</v>
      </c>
      <c r="L348" s="80">
        <f t="shared" si="15"/>
        <v>-10781.030000000028</v>
      </c>
      <c r="M348" s="80">
        <f t="shared" si="16"/>
        <v>0</v>
      </c>
    </row>
    <row r="349" spans="1:13" ht="31.5" outlineLevel="5">
      <c r="A349" s="63" t="s">
        <v>678</v>
      </c>
      <c r="B349" s="64" t="s">
        <v>290</v>
      </c>
      <c r="C349" s="64" t="s">
        <v>70</v>
      </c>
      <c r="D349" s="64" t="s">
        <v>239</v>
      </c>
      <c r="E349" s="64" t="s">
        <v>14</v>
      </c>
      <c r="F349" s="65">
        <f>Приложение_6!F701</f>
        <v>1043305.03</v>
      </c>
      <c r="G349" s="65"/>
      <c r="I349" s="80">
        <v>1032524</v>
      </c>
      <c r="L349" s="80">
        <f t="shared" si="15"/>
        <v>-10781.030000000028</v>
      </c>
      <c r="M349" s="80">
        <f t="shared" si="16"/>
        <v>0</v>
      </c>
    </row>
    <row r="350" spans="1:13" ht="78.75" outlineLevel="2">
      <c r="A350" s="63" t="s">
        <v>588</v>
      </c>
      <c r="B350" s="64" t="s">
        <v>337</v>
      </c>
      <c r="C350" s="64" t="s">
        <v>1</v>
      </c>
      <c r="D350" s="64" t="s">
        <v>3</v>
      </c>
      <c r="E350" s="64" t="s">
        <v>3</v>
      </c>
      <c r="F350" s="65">
        <f>F351+F354+F357+F360</f>
        <v>116681059.71000001</v>
      </c>
      <c r="G350" s="65">
        <f>G351+G354+G357+G360</f>
        <v>11590400.52</v>
      </c>
      <c r="I350" s="80">
        <v>116631059.71</v>
      </c>
      <c r="J350" s="80">
        <v>11540400.52</v>
      </c>
      <c r="L350" s="80">
        <f>I350-F350</f>
        <v>-50000.0000000149</v>
      </c>
      <c r="M350" s="80">
        <f t="shared" si="16"/>
        <v>-50000</v>
      </c>
    </row>
    <row r="351" spans="1:13" ht="126" outlineLevel="3">
      <c r="A351" s="63" t="s">
        <v>443</v>
      </c>
      <c r="B351" s="64" t="s">
        <v>338</v>
      </c>
      <c r="C351" s="64" t="s">
        <v>1</v>
      </c>
      <c r="D351" s="64" t="s">
        <v>3</v>
      </c>
      <c r="E351" s="64" t="s">
        <v>3</v>
      </c>
      <c r="F351" s="65">
        <f>F352</f>
        <v>98897170.43</v>
      </c>
      <c r="G351" s="65"/>
      <c r="I351" s="80">
        <v>98897170.43</v>
      </c>
      <c r="L351" s="80">
        <f t="shared" si="15"/>
        <v>0</v>
      </c>
      <c r="M351" s="80">
        <f>J351-G351</f>
        <v>0</v>
      </c>
    </row>
    <row r="352" spans="1:13" ht="78.75" outlineLevel="4">
      <c r="A352" s="63" t="s">
        <v>692</v>
      </c>
      <c r="B352" s="64" t="s">
        <v>338</v>
      </c>
      <c r="C352" s="64" t="s">
        <v>70</v>
      </c>
      <c r="D352" s="64" t="s">
        <v>3</v>
      </c>
      <c r="E352" s="64" t="s">
        <v>3</v>
      </c>
      <c r="F352" s="65">
        <f>F353</f>
        <v>98897170.43</v>
      </c>
      <c r="G352" s="65"/>
      <c r="I352" s="80">
        <v>98897170.43</v>
      </c>
      <c r="L352" s="80">
        <f t="shared" si="15"/>
        <v>0</v>
      </c>
      <c r="M352" s="80">
        <f t="shared" si="16"/>
        <v>0</v>
      </c>
    </row>
    <row r="353" spans="1:13" ht="15.75" outlineLevel="5">
      <c r="A353" s="63" t="s">
        <v>681</v>
      </c>
      <c r="B353" s="64" t="s">
        <v>338</v>
      </c>
      <c r="C353" s="64" t="s">
        <v>70</v>
      </c>
      <c r="D353" s="64" t="s">
        <v>165</v>
      </c>
      <c r="E353" s="64" t="s">
        <v>2</v>
      </c>
      <c r="F353" s="65">
        <f>Приложение_6!F806</f>
        <v>98897170.43</v>
      </c>
      <c r="G353" s="65"/>
      <c r="I353" s="80">
        <v>98897170.43</v>
      </c>
      <c r="L353" s="80">
        <f t="shared" si="15"/>
        <v>0</v>
      </c>
      <c r="M353" s="80">
        <f t="shared" si="16"/>
        <v>0</v>
      </c>
    </row>
    <row r="354" spans="1:13" ht="126" outlineLevel="3">
      <c r="A354" s="63" t="s">
        <v>465</v>
      </c>
      <c r="B354" s="64" t="s">
        <v>339</v>
      </c>
      <c r="C354" s="64" t="s">
        <v>1</v>
      </c>
      <c r="D354" s="64" t="s">
        <v>3</v>
      </c>
      <c r="E354" s="64" t="s">
        <v>3</v>
      </c>
      <c r="F354" s="65">
        <f>F355</f>
        <v>11540400.52</v>
      </c>
      <c r="G354" s="65">
        <f>G355</f>
        <v>11540400.52</v>
      </c>
      <c r="I354" s="80">
        <v>11540400.52</v>
      </c>
      <c r="J354" s="80">
        <v>11540400.52</v>
      </c>
      <c r="L354" s="80">
        <f t="shared" si="15"/>
        <v>0</v>
      </c>
      <c r="M354" s="80">
        <f t="shared" si="16"/>
        <v>0</v>
      </c>
    </row>
    <row r="355" spans="1:13" ht="78.75" outlineLevel="4">
      <c r="A355" s="63" t="s">
        <v>692</v>
      </c>
      <c r="B355" s="64" t="s">
        <v>339</v>
      </c>
      <c r="C355" s="64" t="s">
        <v>70</v>
      </c>
      <c r="D355" s="64" t="s">
        <v>3</v>
      </c>
      <c r="E355" s="64" t="s">
        <v>3</v>
      </c>
      <c r="F355" s="65">
        <f>F356</f>
        <v>11540400.52</v>
      </c>
      <c r="G355" s="65">
        <f>G356</f>
        <v>11540400.52</v>
      </c>
      <c r="I355" s="80">
        <v>11540400.52</v>
      </c>
      <c r="J355" s="80">
        <v>11540400.52</v>
      </c>
      <c r="L355" s="80">
        <f t="shared" si="15"/>
        <v>0</v>
      </c>
      <c r="M355" s="80">
        <f t="shared" si="16"/>
        <v>0</v>
      </c>
    </row>
    <row r="356" spans="1:13" ht="15.75" outlineLevel="5">
      <c r="A356" s="63" t="s">
        <v>681</v>
      </c>
      <c r="B356" s="64" t="s">
        <v>339</v>
      </c>
      <c r="C356" s="64" t="s">
        <v>70</v>
      </c>
      <c r="D356" s="64" t="s">
        <v>165</v>
      </c>
      <c r="E356" s="64" t="s">
        <v>2</v>
      </c>
      <c r="F356" s="65">
        <f>Приложение_6!F808</f>
        <v>11540400.52</v>
      </c>
      <c r="G356" s="65">
        <f>F356</f>
        <v>11540400.52</v>
      </c>
      <c r="I356" s="80">
        <v>11540400.52</v>
      </c>
      <c r="J356" s="80">
        <v>11540400.52</v>
      </c>
      <c r="L356" s="80">
        <f t="shared" si="15"/>
        <v>0</v>
      </c>
      <c r="M356" s="80">
        <f t="shared" si="16"/>
        <v>0</v>
      </c>
    </row>
    <row r="357" spans="1:13" ht="126" outlineLevel="3">
      <c r="A357" s="63" t="s">
        <v>465</v>
      </c>
      <c r="B357" s="64" t="s">
        <v>340</v>
      </c>
      <c r="C357" s="64" t="s">
        <v>1</v>
      </c>
      <c r="D357" s="64" t="s">
        <v>3</v>
      </c>
      <c r="E357" s="64" t="s">
        <v>3</v>
      </c>
      <c r="F357" s="65">
        <f>F358</f>
        <v>6193488.76</v>
      </c>
      <c r="G357" s="65"/>
      <c r="I357" s="80">
        <v>6193488.76</v>
      </c>
      <c r="L357" s="80">
        <f t="shared" si="15"/>
        <v>0</v>
      </c>
      <c r="M357" s="80">
        <f t="shared" si="16"/>
        <v>0</v>
      </c>
    </row>
    <row r="358" spans="1:13" ht="78.75" outlineLevel="4">
      <c r="A358" s="63" t="s">
        <v>692</v>
      </c>
      <c r="B358" s="64" t="s">
        <v>340</v>
      </c>
      <c r="C358" s="64" t="s">
        <v>70</v>
      </c>
      <c r="D358" s="64" t="s">
        <v>3</v>
      </c>
      <c r="E358" s="64" t="s">
        <v>3</v>
      </c>
      <c r="F358" s="65">
        <f>F359</f>
        <v>6193488.76</v>
      </c>
      <c r="G358" s="65"/>
      <c r="I358" s="80">
        <v>6193488.76</v>
      </c>
      <c r="L358" s="80">
        <f t="shared" si="15"/>
        <v>0</v>
      </c>
      <c r="M358" s="80">
        <f t="shared" si="16"/>
        <v>0</v>
      </c>
    </row>
    <row r="359" spans="1:13" ht="15.75" outlineLevel="5">
      <c r="A359" s="63" t="s">
        <v>681</v>
      </c>
      <c r="B359" s="64" t="s">
        <v>340</v>
      </c>
      <c r="C359" s="64" t="s">
        <v>70</v>
      </c>
      <c r="D359" s="64" t="s">
        <v>165</v>
      </c>
      <c r="E359" s="64" t="s">
        <v>2</v>
      </c>
      <c r="F359" s="65">
        <f>Приложение_6!F810</f>
        <v>6193488.76</v>
      </c>
      <c r="G359" s="65"/>
      <c r="I359" s="80">
        <v>6193488.76</v>
      </c>
      <c r="L359" s="80">
        <f t="shared" si="15"/>
        <v>0</v>
      </c>
      <c r="M359" s="80">
        <f t="shared" si="16"/>
        <v>0</v>
      </c>
    </row>
    <row r="360" spans="1:13" ht="126" outlineLevel="5">
      <c r="A360" s="63" t="s">
        <v>941</v>
      </c>
      <c r="B360" s="64" t="s">
        <v>942</v>
      </c>
      <c r="C360" s="64" t="s">
        <v>1</v>
      </c>
      <c r="D360" s="64" t="s">
        <v>3</v>
      </c>
      <c r="E360" s="64" t="s">
        <v>3</v>
      </c>
      <c r="F360" s="65">
        <f>F361</f>
        <v>50000</v>
      </c>
      <c r="G360" s="65">
        <f>F360</f>
        <v>50000</v>
      </c>
      <c r="I360" s="80"/>
      <c r="L360" s="80"/>
      <c r="M360" s="80"/>
    </row>
    <row r="361" spans="1:13" ht="78.75" outlineLevel="5">
      <c r="A361" s="63" t="s">
        <v>692</v>
      </c>
      <c r="B361" s="64" t="s">
        <v>942</v>
      </c>
      <c r="C361" s="64" t="s">
        <v>70</v>
      </c>
      <c r="D361" s="64" t="s">
        <v>3</v>
      </c>
      <c r="E361" s="64" t="s">
        <v>3</v>
      </c>
      <c r="F361" s="65">
        <f>F362</f>
        <v>50000</v>
      </c>
      <c r="G361" s="65">
        <f>F361</f>
        <v>50000</v>
      </c>
      <c r="I361" s="80"/>
      <c r="L361" s="80"/>
      <c r="M361" s="80"/>
    </row>
    <row r="362" spans="1:13" ht="15.75" outlineLevel="5">
      <c r="A362" s="63" t="s">
        <v>681</v>
      </c>
      <c r="B362" s="64" t="s">
        <v>942</v>
      </c>
      <c r="C362" s="64" t="s">
        <v>70</v>
      </c>
      <c r="D362" s="64" t="s">
        <v>165</v>
      </c>
      <c r="E362" s="64" t="s">
        <v>2</v>
      </c>
      <c r="F362" s="65">
        <f>Приложение_6!F812</f>
        <v>50000</v>
      </c>
      <c r="G362" s="65">
        <f>F362</f>
        <v>50000</v>
      </c>
      <c r="I362" s="80"/>
      <c r="L362" s="80"/>
      <c r="M362" s="80"/>
    </row>
    <row r="363" spans="1:13" ht="31.5" outlineLevel="2">
      <c r="A363" s="63" t="s">
        <v>560</v>
      </c>
      <c r="B363" s="64" t="s">
        <v>341</v>
      </c>
      <c r="C363" s="64" t="s">
        <v>1</v>
      </c>
      <c r="D363" s="64" t="s">
        <v>3</v>
      </c>
      <c r="E363" s="64" t="s">
        <v>3</v>
      </c>
      <c r="F363" s="65">
        <f>F364+F367+F370</f>
        <v>1872214.32</v>
      </c>
      <c r="G363" s="65">
        <f>G369+G372</f>
        <v>487403.05</v>
      </c>
      <c r="I363" s="80">
        <v>1745018</v>
      </c>
      <c r="J363" s="80">
        <v>493936</v>
      </c>
      <c r="L363" s="80">
        <f t="shared" si="15"/>
        <v>-127196.32000000007</v>
      </c>
      <c r="M363" s="80">
        <f t="shared" si="16"/>
        <v>6532.950000000012</v>
      </c>
    </row>
    <row r="364" spans="1:13" ht="126" outlineLevel="3">
      <c r="A364" s="63" t="s">
        <v>432</v>
      </c>
      <c r="B364" s="64" t="s">
        <v>342</v>
      </c>
      <c r="C364" s="64" t="s">
        <v>1</v>
      </c>
      <c r="D364" s="64" t="s">
        <v>3</v>
      </c>
      <c r="E364" s="64" t="s">
        <v>3</v>
      </c>
      <c r="F364" s="65">
        <f>F365</f>
        <v>1384811.27</v>
      </c>
      <c r="G364" s="65"/>
      <c r="I364" s="80">
        <v>1251082</v>
      </c>
      <c r="L364" s="80">
        <f t="shared" si="15"/>
        <v>-133729.27000000002</v>
      </c>
      <c r="M364" s="80">
        <f t="shared" si="16"/>
        <v>0</v>
      </c>
    </row>
    <row r="365" spans="1:13" ht="78.75" outlineLevel="4">
      <c r="A365" s="63" t="s">
        <v>692</v>
      </c>
      <c r="B365" s="64" t="s">
        <v>342</v>
      </c>
      <c r="C365" s="64" t="s">
        <v>70</v>
      </c>
      <c r="D365" s="64" t="s">
        <v>3</v>
      </c>
      <c r="E365" s="64" t="s">
        <v>3</v>
      </c>
      <c r="F365" s="65">
        <f>F366</f>
        <v>1384811.27</v>
      </c>
      <c r="G365" s="65"/>
      <c r="I365" s="80">
        <v>1251082</v>
      </c>
      <c r="L365" s="80">
        <f aca="true" t="shared" si="17" ref="L365:L434">I365-F365</f>
        <v>-133729.27000000002</v>
      </c>
      <c r="M365" s="80">
        <f aca="true" t="shared" si="18" ref="M365:M434">J365-G365</f>
        <v>0</v>
      </c>
    </row>
    <row r="366" spans="1:13" ht="15.75" outlineLevel="5">
      <c r="A366" s="63" t="s">
        <v>681</v>
      </c>
      <c r="B366" s="64" t="s">
        <v>342</v>
      </c>
      <c r="C366" s="64" t="s">
        <v>70</v>
      </c>
      <c r="D366" s="64" t="s">
        <v>165</v>
      </c>
      <c r="E366" s="64" t="s">
        <v>2</v>
      </c>
      <c r="F366" s="65">
        <f>Приложение_6!F815</f>
        <v>1384811.27</v>
      </c>
      <c r="G366" s="65"/>
      <c r="I366" s="80">
        <v>1251082</v>
      </c>
      <c r="L366" s="80">
        <f t="shared" si="17"/>
        <v>-133729.27000000002</v>
      </c>
      <c r="M366" s="80">
        <f t="shared" si="18"/>
        <v>0</v>
      </c>
    </row>
    <row r="367" spans="1:13" ht="157.5" outlineLevel="3">
      <c r="A367" s="63" t="s">
        <v>473</v>
      </c>
      <c r="B367" s="64" t="s">
        <v>384</v>
      </c>
      <c r="C367" s="64" t="s">
        <v>1</v>
      </c>
      <c r="D367" s="64" t="s">
        <v>3</v>
      </c>
      <c r="E367" s="64" t="s">
        <v>3</v>
      </c>
      <c r="F367" s="65">
        <f>F368</f>
        <v>5536</v>
      </c>
      <c r="G367" s="65">
        <f>G368</f>
        <v>5536</v>
      </c>
      <c r="I367" s="80">
        <v>5536</v>
      </c>
      <c r="J367" s="80">
        <v>5536</v>
      </c>
      <c r="L367" s="80">
        <f t="shared" si="17"/>
        <v>0</v>
      </c>
      <c r="M367" s="80">
        <f t="shared" si="18"/>
        <v>0</v>
      </c>
    </row>
    <row r="368" spans="1:13" ht="78.75" outlineLevel="4">
      <c r="A368" s="63" t="s">
        <v>692</v>
      </c>
      <c r="B368" s="64" t="s">
        <v>384</v>
      </c>
      <c r="C368" s="64" t="s">
        <v>70</v>
      </c>
      <c r="D368" s="64" t="s">
        <v>3</v>
      </c>
      <c r="E368" s="64" t="s">
        <v>3</v>
      </c>
      <c r="F368" s="65">
        <f>F369</f>
        <v>5536</v>
      </c>
      <c r="G368" s="65">
        <f>G369</f>
        <v>5536</v>
      </c>
      <c r="I368" s="80">
        <v>5536</v>
      </c>
      <c r="J368" s="80">
        <v>5536</v>
      </c>
      <c r="L368" s="80">
        <f t="shared" si="17"/>
        <v>0</v>
      </c>
      <c r="M368" s="80">
        <f t="shared" si="18"/>
        <v>0</v>
      </c>
    </row>
    <row r="369" spans="1:13" ht="31.5" outlineLevel="5">
      <c r="A369" s="63" t="s">
        <v>683</v>
      </c>
      <c r="B369" s="64" t="s">
        <v>384</v>
      </c>
      <c r="C369" s="64" t="s">
        <v>70</v>
      </c>
      <c r="D369" s="64" t="s">
        <v>187</v>
      </c>
      <c r="E369" s="64" t="s">
        <v>14</v>
      </c>
      <c r="F369" s="65">
        <f>Приложение_6!F905</f>
        <v>5536</v>
      </c>
      <c r="G369" s="65">
        <f>F369</f>
        <v>5536</v>
      </c>
      <c r="I369" s="80">
        <v>5536</v>
      </c>
      <c r="J369" s="80">
        <v>5536</v>
      </c>
      <c r="L369" s="80">
        <f t="shared" si="17"/>
        <v>0</v>
      </c>
      <c r="M369" s="80">
        <f t="shared" si="18"/>
        <v>0</v>
      </c>
    </row>
    <row r="370" spans="1:13" ht="141.75" customHeight="1" outlineLevel="3">
      <c r="A370" s="63" t="s">
        <v>474</v>
      </c>
      <c r="B370" s="64" t="s">
        <v>385</v>
      </c>
      <c r="C370" s="64" t="s">
        <v>1</v>
      </c>
      <c r="D370" s="64" t="s">
        <v>3</v>
      </c>
      <c r="E370" s="64" t="s">
        <v>3</v>
      </c>
      <c r="F370" s="65">
        <f>F371</f>
        <v>481867.05</v>
      </c>
      <c r="G370" s="65">
        <f>G371</f>
        <v>481867.05</v>
      </c>
      <c r="I370" s="80">
        <v>488400</v>
      </c>
      <c r="J370" s="80">
        <v>488400</v>
      </c>
      <c r="L370" s="80">
        <f t="shared" si="17"/>
        <v>6532.950000000012</v>
      </c>
      <c r="M370" s="80">
        <f t="shared" si="18"/>
        <v>6532.950000000012</v>
      </c>
    </row>
    <row r="371" spans="1:13" ht="78.75" outlineLevel="4">
      <c r="A371" s="63" t="s">
        <v>692</v>
      </c>
      <c r="B371" s="64" t="s">
        <v>385</v>
      </c>
      <c r="C371" s="64" t="s">
        <v>70</v>
      </c>
      <c r="D371" s="64" t="s">
        <v>3</v>
      </c>
      <c r="E371" s="64" t="s">
        <v>3</v>
      </c>
      <c r="F371" s="65">
        <f>F372</f>
        <v>481867.05</v>
      </c>
      <c r="G371" s="65">
        <f>G372</f>
        <v>481867.05</v>
      </c>
      <c r="I371" s="80">
        <v>488400</v>
      </c>
      <c r="J371" s="80">
        <v>488400</v>
      </c>
      <c r="L371" s="80">
        <f t="shared" si="17"/>
        <v>6532.950000000012</v>
      </c>
      <c r="M371" s="80">
        <f t="shared" si="18"/>
        <v>6532.950000000012</v>
      </c>
    </row>
    <row r="372" spans="1:13" ht="31.5" outlineLevel="5">
      <c r="A372" s="63" t="s">
        <v>683</v>
      </c>
      <c r="B372" s="64" t="s">
        <v>385</v>
      </c>
      <c r="C372" s="64" t="s">
        <v>70</v>
      </c>
      <c r="D372" s="64" t="s">
        <v>187</v>
      </c>
      <c r="E372" s="64" t="s">
        <v>14</v>
      </c>
      <c r="F372" s="65">
        <f>Приложение_6!F907</f>
        <v>481867.05</v>
      </c>
      <c r="G372" s="65">
        <f>F372</f>
        <v>481867.05</v>
      </c>
      <c r="I372" s="80">
        <v>488400</v>
      </c>
      <c r="J372" s="80">
        <v>488400</v>
      </c>
      <c r="L372" s="80">
        <f t="shared" si="17"/>
        <v>6532.950000000012</v>
      </c>
      <c r="M372" s="80">
        <f t="shared" si="18"/>
        <v>6532.950000000012</v>
      </c>
    </row>
    <row r="373" spans="1:13" ht="47.25" outlineLevel="1">
      <c r="A373" s="70" t="s">
        <v>646</v>
      </c>
      <c r="B373" s="71" t="s">
        <v>343</v>
      </c>
      <c r="C373" s="71" t="s">
        <v>1</v>
      </c>
      <c r="D373" s="71" t="s">
        <v>3</v>
      </c>
      <c r="E373" s="71" t="s">
        <v>3</v>
      </c>
      <c r="F373" s="72">
        <f>F374+F384+F394+F404+F408</f>
        <v>54954839.37</v>
      </c>
      <c r="G373" s="72">
        <f>G374+G384+G394+G404+G408</f>
        <v>5298544.24</v>
      </c>
      <c r="I373" s="80">
        <v>55133748.43</v>
      </c>
      <c r="L373" s="80">
        <f t="shared" si="17"/>
        <v>178909.06000000238</v>
      </c>
      <c r="M373" s="80">
        <f t="shared" si="18"/>
        <v>-5298544.24</v>
      </c>
    </row>
    <row r="374" spans="1:13" ht="78.75" outlineLevel="2">
      <c r="A374" s="63" t="s">
        <v>589</v>
      </c>
      <c r="B374" s="64" t="s">
        <v>344</v>
      </c>
      <c r="C374" s="64" t="s">
        <v>1</v>
      </c>
      <c r="D374" s="64" t="s">
        <v>3</v>
      </c>
      <c r="E374" s="64" t="s">
        <v>3</v>
      </c>
      <c r="F374" s="65">
        <f>F375+F378+F381</f>
        <v>44562339.87</v>
      </c>
      <c r="G374" s="65">
        <f>G380</f>
        <v>5135772.78</v>
      </c>
      <c r="I374" s="80">
        <v>44562339.87</v>
      </c>
      <c r="J374" s="80">
        <v>5135772.78</v>
      </c>
      <c r="L374" s="80">
        <f t="shared" si="17"/>
        <v>0</v>
      </c>
      <c r="M374" s="80">
        <f t="shared" si="18"/>
        <v>0</v>
      </c>
    </row>
    <row r="375" spans="1:13" ht="126" outlineLevel="3">
      <c r="A375" s="63" t="s">
        <v>443</v>
      </c>
      <c r="B375" s="64" t="s">
        <v>345</v>
      </c>
      <c r="C375" s="64" t="s">
        <v>1</v>
      </c>
      <c r="D375" s="64" t="s">
        <v>3</v>
      </c>
      <c r="E375" s="64" t="s">
        <v>3</v>
      </c>
      <c r="F375" s="65">
        <f>F376</f>
        <v>37937563.69</v>
      </c>
      <c r="G375" s="65"/>
      <c r="I375" s="80">
        <v>37937563.69</v>
      </c>
      <c r="L375" s="80">
        <f t="shared" si="17"/>
        <v>0</v>
      </c>
      <c r="M375" s="80">
        <f t="shared" si="18"/>
        <v>0</v>
      </c>
    </row>
    <row r="376" spans="1:13" ht="78.75" outlineLevel="4">
      <c r="A376" s="63" t="s">
        <v>692</v>
      </c>
      <c r="B376" s="64" t="s">
        <v>345</v>
      </c>
      <c r="C376" s="64" t="s">
        <v>70</v>
      </c>
      <c r="D376" s="64" t="s">
        <v>3</v>
      </c>
      <c r="E376" s="64" t="s">
        <v>3</v>
      </c>
      <c r="F376" s="65">
        <f>F377</f>
        <v>37937563.69</v>
      </c>
      <c r="G376" s="65"/>
      <c r="I376" s="80">
        <v>37937563.69</v>
      </c>
      <c r="L376" s="80">
        <f t="shared" si="17"/>
        <v>0</v>
      </c>
      <c r="M376" s="80">
        <f t="shared" si="18"/>
        <v>0</v>
      </c>
    </row>
    <row r="377" spans="1:13" ht="15.75" outlineLevel="5">
      <c r="A377" s="63" t="s">
        <v>681</v>
      </c>
      <c r="B377" s="64" t="s">
        <v>345</v>
      </c>
      <c r="C377" s="64" t="s">
        <v>70</v>
      </c>
      <c r="D377" s="64" t="s">
        <v>165</v>
      </c>
      <c r="E377" s="64" t="s">
        <v>2</v>
      </c>
      <c r="F377" s="65">
        <f>Приложение_6!F819</f>
        <v>37937563.69</v>
      </c>
      <c r="G377" s="65"/>
      <c r="I377" s="80">
        <v>37937563.69</v>
      </c>
      <c r="L377" s="80">
        <f t="shared" si="17"/>
        <v>0</v>
      </c>
      <c r="M377" s="80">
        <f t="shared" si="18"/>
        <v>0</v>
      </c>
    </row>
    <row r="378" spans="1:13" ht="126" outlineLevel="3">
      <c r="A378" s="63" t="s">
        <v>465</v>
      </c>
      <c r="B378" s="64" t="s">
        <v>346</v>
      </c>
      <c r="C378" s="64" t="s">
        <v>1</v>
      </c>
      <c r="D378" s="64" t="s">
        <v>3</v>
      </c>
      <c r="E378" s="64" t="s">
        <v>3</v>
      </c>
      <c r="F378" s="65">
        <f>F379</f>
        <v>5135772.78</v>
      </c>
      <c r="G378" s="65">
        <f>G379</f>
        <v>5135772.78</v>
      </c>
      <c r="I378" s="80">
        <v>5135772.78</v>
      </c>
      <c r="J378" s="80">
        <v>5135772.78</v>
      </c>
      <c r="L378" s="80">
        <f t="shared" si="17"/>
        <v>0</v>
      </c>
      <c r="M378" s="80">
        <f t="shared" si="18"/>
        <v>0</v>
      </c>
    </row>
    <row r="379" spans="1:13" ht="78.75" outlineLevel="4">
      <c r="A379" s="63" t="s">
        <v>692</v>
      </c>
      <c r="B379" s="64" t="s">
        <v>346</v>
      </c>
      <c r="C379" s="64" t="s">
        <v>70</v>
      </c>
      <c r="D379" s="64" t="s">
        <v>3</v>
      </c>
      <c r="E379" s="64" t="s">
        <v>3</v>
      </c>
      <c r="F379" s="65">
        <f>F380</f>
        <v>5135772.78</v>
      </c>
      <c r="G379" s="65">
        <f>G380</f>
        <v>5135772.78</v>
      </c>
      <c r="I379" s="80">
        <v>5135772.78</v>
      </c>
      <c r="J379" s="80">
        <v>5135772.78</v>
      </c>
      <c r="L379" s="80">
        <f t="shared" si="17"/>
        <v>0</v>
      </c>
      <c r="M379" s="80">
        <f t="shared" si="18"/>
        <v>0</v>
      </c>
    </row>
    <row r="380" spans="1:13" ht="15.75" outlineLevel="5">
      <c r="A380" s="63" t="s">
        <v>681</v>
      </c>
      <c r="B380" s="64" t="s">
        <v>346</v>
      </c>
      <c r="C380" s="64" t="s">
        <v>70</v>
      </c>
      <c r="D380" s="64" t="s">
        <v>165</v>
      </c>
      <c r="E380" s="64" t="s">
        <v>2</v>
      </c>
      <c r="F380" s="65">
        <f>Приложение_6!F821</f>
        <v>5135772.78</v>
      </c>
      <c r="G380" s="65">
        <f>F380</f>
        <v>5135772.78</v>
      </c>
      <c r="I380" s="80">
        <v>5135772.78</v>
      </c>
      <c r="J380" s="80">
        <v>5135772.78</v>
      </c>
      <c r="L380" s="80">
        <f t="shared" si="17"/>
        <v>0</v>
      </c>
      <c r="M380" s="80">
        <f t="shared" si="18"/>
        <v>0</v>
      </c>
    </row>
    <row r="381" spans="1:13" ht="126" outlineLevel="3">
      <c r="A381" s="63" t="s">
        <v>465</v>
      </c>
      <c r="B381" s="64" t="s">
        <v>347</v>
      </c>
      <c r="C381" s="64" t="s">
        <v>1</v>
      </c>
      <c r="D381" s="64" t="s">
        <v>3</v>
      </c>
      <c r="E381" s="64" t="s">
        <v>3</v>
      </c>
      <c r="F381" s="65">
        <f>F382</f>
        <v>1489003.4</v>
      </c>
      <c r="G381" s="65"/>
      <c r="I381" s="80">
        <v>1489003.4</v>
      </c>
      <c r="L381" s="80">
        <f t="shared" si="17"/>
        <v>0</v>
      </c>
      <c r="M381" s="80">
        <f t="shared" si="18"/>
        <v>0</v>
      </c>
    </row>
    <row r="382" spans="1:13" ht="78.75" outlineLevel="4">
      <c r="A382" s="63" t="s">
        <v>692</v>
      </c>
      <c r="B382" s="64" t="s">
        <v>347</v>
      </c>
      <c r="C382" s="64" t="s">
        <v>70</v>
      </c>
      <c r="D382" s="64" t="s">
        <v>3</v>
      </c>
      <c r="E382" s="64" t="s">
        <v>3</v>
      </c>
      <c r="F382" s="65">
        <f>F383</f>
        <v>1489003.4</v>
      </c>
      <c r="G382" s="65"/>
      <c r="I382" s="80">
        <v>1489003.4</v>
      </c>
      <c r="L382" s="80">
        <f t="shared" si="17"/>
        <v>0</v>
      </c>
      <c r="M382" s="80">
        <f t="shared" si="18"/>
        <v>0</v>
      </c>
    </row>
    <row r="383" spans="1:13" ht="15.75" outlineLevel="5">
      <c r="A383" s="63" t="s">
        <v>681</v>
      </c>
      <c r="B383" s="64" t="s">
        <v>347</v>
      </c>
      <c r="C383" s="64" t="s">
        <v>70</v>
      </c>
      <c r="D383" s="64" t="s">
        <v>165</v>
      </c>
      <c r="E383" s="64" t="s">
        <v>2</v>
      </c>
      <c r="F383" s="65">
        <f>Приложение_6!F823</f>
        <v>1489003.4</v>
      </c>
      <c r="G383" s="65"/>
      <c r="I383" s="80">
        <v>1489003.4</v>
      </c>
      <c r="L383" s="80">
        <f t="shared" si="17"/>
        <v>0</v>
      </c>
      <c r="M383" s="80">
        <f t="shared" si="18"/>
        <v>0</v>
      </c>
    </row>
    <row r="384" spans="1:13" ht="31.5" outlineLevel="2">
      <c r="A384" s="63" t="s">
        <v>560</v>
      </c>
      <c r="B384" s="64" t="s">
        <v>348</v>
      </c>
      <c r="C384" s="64" t="s">
        <v>1</v>
      </c>
      <c r="D384" s="64" t="s">
        <v>3</v>
      </c>
      <c r="E384" s="64" t="s">
        <v>3</v>
      </c>
      <c r="F384" s="65">
        <f>F385+F388+F391</f>
        <v>858470.4299999999</v>
      </c>
      <c r="G384" s="65">
        <f>G390+G393</f>
        <v>128760.95</v>
      </c>
      <c r="I384" s="80">
        <v>1071390</v>
      </c>
      <c r="J384" s="80">
        <v>122228</v>
      </c>
      <c r="L384" s="80">
        <f t="shared" si="17"/>
        <v>212919.57000000007</v>
      </c>
      <c r="M384" s="80">
        <f t="shared" si="18"/>
        <v>-6532.949999999997</v>
      </c>
    </row>
    <row r="385" spans="1:13" ht="126" outlineLevel="3">
      <c r="A385" s="63" t="s">
        <v>432</v>
      </c>
      <c r="B385" s="64" t="s">
        <v>349</v>
      </c>
      <c r="C385" s="64" t="s">
        <v>1</v>
      </c>
      <c r="D385" s="64" t="s">
        <v>3</v>
      </c>
      <c r="E385" s="64" t="s">
        <v>3</v>
      </c>
      <c r="F385" s="65">
        <f>F386</f>
        <v>729709.48</v>
      </c>
      <c r="G385" s="65"/>
      <c r="I385" s="80">
        <v>949162</v>
      </c>
      <c r="L385" s="80">
        <f t="shared" si="17"/>
        <v>219452.52000000002</v>
      </c>
      <c r="M385" s="80">
        <f t="shared" si="18"/>
        <v>0</v>
      </c>
    </row>
    <row r="386" spans="1:13" ht="78.75" outlineLevel="4">
      <c r="A386" s="63" t="s">
        <v>692</v>
      </c>
      <c r="B386" s="64" t="s">
        <v>349</v>
      </c>
      <c r="C386" s="64" t="s">
        <v>70</v>
      </c>
      <c r="D386" s="64" t="s">
        <v>3</v>
      </c>
      <c r="E386" s="64" t="s">
        <v>3</v>
      </c>
      <c r="F386" s="65">
        <f>F387</f>
        <v>729709.48</v>
      </c>
      <c r="G386" s="65"/>
      <c r="I386" s="80">
        <v>949162</v>
      </c>
      <c r="L386" s="80">
        <f t="shared" si="17"/>
        <v>219452.52000000002</v>
      </c>
      <c r="M386" s="80">
        <f t="shared" si="18"/>
        <v>0</v>
      </c>
    </row>
    <row r="387" spans="1:13" ht="15.75" outlineLevel="5">
      <c r="A387" s="63" t="s">
        <v>681</v>
      </c>
      <c r="B387" s="64" t="s">
        <v>349</v>
      </c>
      <c r="C387" s="64" t="s">
        <v>70</v>
      </c>
      <c r="D387" s="64" t="s">
        <v>165</v>
      </c>
      <c r="E387" s="64" t="s">
        <v>2</v>
      </c>
      <c r="F387" s="65">
        <f>Приложение_6!F826</f>
        <v>729709.48</v>
      </c>
      <c r="G387" s="65"/>
      <c r="I387" s="80">
        <v>949162</v>
      </c>
      <c r="L387" s="80">
        <f t="shared" si="17"/>
        <v>219452.52000000002</v>
      </c>
      <c r="M387" s="80">
        <f t="shared" si="18"/>
        <v>0</v>
      </c>
    </row>
    <row r="388" spans="1:13" ht="157.5" outlineLevel="3">
      <c r="A388" s="63" t="s">
        <v>473</v>
      </c>
      <c r="B388" s="64" t="s">
        <v>386</v>
      </c>
      <c r="C388" s="64" t="s">
        <v>1</v>
      </c>
      <c r="D388" s="64" t="s">
        <v>3</v>
      </c>
      <c r="E388" s="64" t="s">
        <v>3</v>
      </c>
      <c r="F388" s="65">
        <f>F389</f>
        <v>2228</v>
      </c>
      <c r="G388" s="65">
        <f>G389</f>
        <v>2228</v>
      </c>
      <c r="I388" s="80">
        <v>2228</v>
      </c>
      <c r="J388" s="80">
        <v>2228</v>
      </c>
      <c r="L388" s="80">
        <f t="shared" si="17"/>
        <v>0</v>
      </c>
      <c r="M388" s="80">
        <f t="shared" si="18"/>
        <v>0</v>
      </c>
    </row>
    <row r="389" spans="1:13" ht="78.75" outlineLevel="4">
      <c r="A389" s="63" t="s">
        <v>692</v>
      </c>
      <c r="B389" s="64" t="s">
        <v>386</v>
      </c>
      <c r="C389" s="64" t="s">
        <v>70</v>
      </c>
      <c r="D389" s="64" t="s">
        <v>3</v>
      </c>
      <c r="E389" s="64" t="s">
        <v>3</v>
      </c>
      <c r="F389" s="65">
        <f>F390</f>
        <v>2228</v>
      </c>
      <c r="G389" s="65">
        <f>G390</f>
        <v>2228</v>
      </c>
      <c r="I389" s="80">
        <v>2228</v>
      </c>
      <c r="J389" s="80">
        <v>2228</v>
      </c>
      <c r="L389" s="80">
        <f t="shared" si="17"/>
        <v>0</v>
      </c>
      <c r="M389" s="80">
        <f t="shared" si="18"/>
        <v>0</v>
      </c>
    </row>
    <row r="390" spans="1:13" ht="31.5" outlineLevel="5">
      <c r="A390" s="63" t="s">
        <v>683</v>
      </c>
      <c r="B390" s="64" t="s">
        <v>386</v>
      </c>
      <c r="C390" s="64" t="s">
        <v>70</v>
      </c>
      <c r="D390" s="64" t="s">
        <v>187</v>
      </c>
      <c r="E390" s="64" t="s">
        <v>14</v>
      </c>
      <c r="F390" s="65">
        <f>Приложение_6!F911</f>
        <v>2228</v>
      </c>
      <c r="G390" s="65">
        <f>F390</f>
        <v>2228</v>
      </c>
      <c r="I390" s="80">
        <v>2228</v>
      </c>
      <c r="J390" s="80">
        <v>2228</v>
      </c>
      <c r="L390" s="80">
        <f t="shared" si="17"/>
        <v>0</v>
      </c>
      <c r="M390" s="80">
        <f t="shared" si="18"/>
        <v>0</v>
      </c>
    </row>
    <row r="391" spans="1:13" ht="141.75" customHeight="1" outlineLevel="3">
      <c r="A391" s="63" t="s">
        <v>474</v>
      </c>
      <c r="B391" s="64" t="s">
        <v>387</v>
      </c>
      <c r="C391" s="64" t="s">
        <v>1</v>
      </c>
      <c r="D391" s="64" t="s">
        <v>3</v>
      </c>
      <c r="E391" s="64" t="s">
        <v>3</v>
      </c>
      <c r="F391" s="65">
        <f>F392</f>
        <v>126532.95</v>
      </c>
      <c r="G391" s="65">
        <f>G392</f>
        <v>126532.95</v>
      </c>
      <c r="I391" s="80">
        <v>120000</v>
      </c>
      <c r="J391" s="80">
        <v>120000</v>
      </c>
      <c r="L391" s="80">
        <f t="shared" si="17"/>
        <v>-6532.949999999997</v>
      </c>
      <c r="M391" s="80">
        <f t="shared" si="18"/>
        <v>-6532.949999999997</v>
      </c>
    </row>
    <row r="392" spans="1:13" ht="78.75" outlineLevel="4">
      <c r="A392" s="63" t="s">
        <v>692</v>
      </c>
      <c r="B392" s="64" t="s">
        <v>387</v>
      </c>
      <c r="C392" s="64" t="s">
        <v>70</v>
      </c>
      <c r="D392" s="64" t="s">
        <v>3</v>
      </c>
      <c r="E392" s="64" t="s">
        <v>3</v>
      </c>
      <c r="F392" s="65">
        <f>F393</f>
        <v>126532.95</v>
      </c>
      <c r="G392" s="65">
        <f>G393</f>
        <v>126532.95</v>
      </c>
      <c r="I392" s="80">
        <v>120000</v>
      </c>
      <c r="J392" s="80">
        <v>120000</v>
      </c>
      <c r="L392" s="80">
        <f t="shared" si="17"/>
        <v>-6532.949999999997</v>
      </c>
      <c r="M392" s="80">
        <f t="shared" si="18"/>
        <v>-6532.949999999997</v>
      </c>
    </row>
    <row r="393" spans="1:13" ht="31.5" outlineLevel="5">
      <c r="A393" s="63" t="s">
        <v>683</v>
      </c>
      <c r="B393" s="64" t="s">
        <v>387</v>
      </c>
      <c r="C393" s="64" t="s">
        <v>70</v>
      </c>
      <c r="D393" s="64" t="s">
        <v>187</v>
      </c>
      <c r="E393" s="64" t="s">
        <v>14</v>
      </c>
      <c r="F393" s="65">
        <f>Приложение_6!F913</f>
        <v>126532.95</v>
      </c>
      <c r="G393" s="65">
        <f>F393</f>
        <v>126532.95</v>
      </c>
      <c r="I393" s="80">
        <v>120000</v>
      </c>
      <c r="J393" s="80">
        <v>120000</v>
      </c>
      <c r="L393" s="80">
        <f t="shared" si="17"/>
        <v>-6532.949999999997</v>
      </c>
      <c r="M393" s="80">
        <f t="shared" si="18"/>
        <v>-6532.949999999997</v>
      </c>
    </row>
    <row r="394" spans="1:13" ht="94.5" outlineLevel="2">
      <c r="A394" s="63" t="s">
        <v>590</v>
      </c>
      <c r="B394" s="64" t="s">
        <v>350</v>
      </c>
      <c r="C394" s="64" t="s">
        <v>1</v>
      </c>
      <c r="D394" s="64" t="s">
        <v>3</v>
      </c>
      <c r="E394" s="64" t="s">
        <v>3</v>
      </c>
      <c r="F394" s="65">
        <f>F395+F398+F401</f>
        <v>5282577.76</v>
      </c>
      <c r="G394" s="65">
        <f>G395+G398+G401</f>
        <v>34010.51</v>
      </c>
      <c r="I394" s="80">
        <v>5248567.25</v>
      </c>
      <c r="L394" s="80">
        <f t="shared" si="17"/>
        <v>-34010.50999999978</v>
      </c>
      <c r="M394" s="80">
        <f t="shared" si="18"/>
        <v>-34010.51</v>
      </c>
    </row>
    <row r="395" spans="1:13" ht="126" outlineLevel="3">
      <c r="A395" s="63" t="s">
        <v>443</v>
      </c>
      <c r="B395" s="64" t="s">
        <v>351</v>
      </c>
      <c r="C395" s="64" t="s">
        <v>1</v>
      </c>
      <c r="D395" s="64" t="s">
        <v>3</v>
      </c>
      <c r="E395" s="64" t="s">
        <v>3</v>
      </c>
      <c r="F395" s="65">
        <f>F396</f>
        <v>4804616.25</v>
      </c>
      <c r="G395" s="65"/>
      <c r="I395" s="80">
        <v>5248567.25</v>
      </c>
      <c r="L395" s="80">
        <f t="shared" si="17"/>
        <v>443951</v>
      </c>
      <c r="M395" s="80">
        <f t="shared" si="18"/>
        <v>0</v>
      </c>
    </row>
    <row r="396" spans="1:13" ht="78.75" outlineLevel="4">
      <c r="A396" s="63" t="s">
        <v>692</v>
      </c>
      <c r="B396" s="64" t="s">
        <v>351</v>
      </c>
      <c r="C396" s="64" t="s">
        <v>70</v>
      </c>
      <c r="D396" s="64" t="s">
        <v>3</v>
      </c>
      <c r="E396" s="64" t="s">
        <v>3</v>
      </c>
      <c r="F396" s="65">
        <f>F397</f>
        <v>4804616.25</v>
      </c>
      <c r="G396" s="65"/>
      <c r="I396" s="80">
        <v>5248567.25</v>
      </c>
      <c r="L396" s="80">
        <f t="shared" si="17"/>
        <v>443951</v>
      </c>
      <c r="M396" s="80">
        <f t="shared" si="18"/>
        <v>0</v>
      </c>
    </row>
    <row r="397" spans="1:13" ht="15.75" outlineLevel="5">
      <c r="A397" s="63" t="s">
        <v>681</v>
      </c>
      <c r="B397" s="64" t="s">
        <v>351</v>
      </c>
      <c r="C397" s="64" t="s">
        <v>70</v>
      </c>
      <c r="D397" s="64" t="s">
        <v>165</v>
      </c>
      <c r="E397" s="64" t="s">
        <v>2</v>
      </c>
      <c r="F397" s="65">
        <f>Приложение_6!F829</f>
        <v>4804616.25</v>
      </c>
      <c r="G397" s="65"/>
      <c r="I397" s="80">
        <v>5248567.25</v>
      </c>
      <c r="L397" s="80">
        <f t="shared" si="17"/>
        <v>443951</v>
      </c>
      <c r="M397" s="80">
        <f t="shared" si="18"/>
        <v>0</v>
      </c>
    </row>
    <row r="398" spans="1:13" ht="141.75" outlineLevel="5">
      <c r="A398" s="63" t="s">
        <v>908</v>
      </c>
      <c r="B398" s="64" t="s">
        <v>909</v>
      </c>
      <c r="C398" s="64" t="s">
        <v>1</v>
      </c>
      <c r="D398" s="64" t="s">
        <v>3</v>
      </c>
      <c r="E398" s="64" t="s">
        <v>3</v>
      </c>
      <c r="F398" s="65">
        <f>F399</f>
        <v>443951</v>
      </c>
      <c r="G398" s="65"/>
      <c r="I398" s="80"/>
      <c r="L398" s="80"/>
      <c r="M398" s="80"/>
    </row>
    <row r="399" spans="1:13" ht="78.75" outlineLevel="5">
      <c r="A399" s="63" t="s">
        <v>692</v>
      </c>
      <c r="B399" s="64" t="s">
        <v>909</v>
      </c>
      <c r="C399" s="64" t="s">
        <v>70</v>
      </c>
      <c r="D399" s="64" t="s">
        <v>3</v>
      </c>
      <c r="E399" s="64" t="s">
        <v>3</v>
      </c>
      <c r="F399" s="65">
        <f>F400</f>
        <v>443951</v>
      </c>
      <c r="G399" s="65"/>
      <c r="I399" s="80"/>
      <c r="L399" s="80"/>
      <c r="M399" s="80"/>
    </row>
    <row r="400" spans="1:13" ht="15.75" outlineLevel="5">
      <c r="A400" s="63" t="s">
        <v>681</v>
      </c>
      <c r="B400" s="64" t="s">
        <v>909</v>
      </c>
      <c r="C400" s="64" t="s">
        <v>70</v>
      </c>
      <c r="D400" s="64" t="s">
        <v>165</v>
      </c>
      <c r="E400" s="64" t="s">
        <v>2</v>
      </c>
      <c r="F400" s="65">
        <f>Приложение_6!F831</f>
        <v>443951</v>
      </c>
      <c r="G400" s="65"/>
      <c r="I400" s="80"/>
      <c r="L400" s="80"/>
      <c r="M400" s="80"/>
    </row>
    <row r="401" spans="1:13" ht="132" customHeight="1" outlineLevel="5">
      <c r="A401" s="63" t="s">
        <v>908</v>
      </c>
      <c r="B401" s="37" t="s">
        <v>910</v>
      </c>
      <c r="C401" s="64" t="s">
        <v>1</v>
      </c>
      <c r="D401" s="64" t="s">
        <v>3</v>
      </c>
      <c r="E401" s="64" t="s">
        <v>3</v>
      </c>
      <c r="F401" s="65">
        <f>F402</f>
        <v>34010.51</v>
      </c>
      <c r="G401" s="65">
        <f>G402</f>
        <v>34010.51</v>
      </c>
      <c r="I401" s="80"/>
      <c r="L401" s="80"/>
      <c r="M401" s="80"/>
    </row>
    <row r="402" spans="1:13" ht="78.75" outlineLevel="5">
      <c r="A402" s="63" t="s">
        <v>692</v>
      </c>
      <c r="B402" s="37" t="s">
        <v>910</v>
      </c>
      <c r="C402" s="64" t="s">
        <v>70</v>
      </c>
      <c r="D402" s="64" t="s">
        <v>3</v>
      </c>
      <c r="E402" s="64" t="s">
        <v>3</v>
      </c>
      <c r="F402" s="65">
        <f>F403</f>
        <v>34010.51</v>
      </c>
      <c r="G402" s="65">
        <f>F402</f>
        <v>34010.51</v>
      </c>
      <c r="I402" s="80"/>
      <c r="L402" s="80"/>
      <c r="M402" s="80"/>
    </row>
    <row r="403" spans="1:13" ht="15.75" outlineLevel="5">
      <c r="A403" s="63" t="s">
        <v>681</v>
      </c>
      <c r="B403" s="37" t="s">
        <v>910</v>
      </c>
      <c r="C403" s="64" t="s">
        <v>70</v>
      </c>
      <c r="D403" s="64" t="s">
        <v>165</v>
      </c>
      <c r="E403" s="64" t="s">
        <v>2</v>
      </c>
      <c r="F403" s="65">
        <f>Приложение_6!F833</f>
        <v>34010.51</v>
      </c>
      <c r="G403" s="65"/>
      <c r="I403" s="80"/>
      <c r="L403" s="80"/>
      <c r="M403" s="80"/>
    </row>
    <row r="404" spans="1:13" ht="47.25" outlineLevel="2">
      <c r="A404" s="63" t="s">
        <v>591</v>
      </c>
      <c r="B404" s="64" t="s">
        <v>352</v>
      </c>
      <c r="C404" s="64" t="s">
        <v>1</v>
      </c>
      <c r="D404" s="64" t="s">
        <v>3</v>
      </c>
      <c r="E404" s="64" t="s">
        <v>3</v>
      </c>
      <c r="F404" s="65">
        <f>F405</f>
        <v>4142944.31</v>
      </c>
      <c r="G404" s="65"/>
      <c r="I404" s="80">
        <v>4142944.31</v>
      </c>
      <c r="L404" s="80">
        <f t="shared" si="17"/>
        <v>0</v>
      </c>
      <c r="M404" s="80">
        <f t="shared" si="18"/>
        <v>0</v>
      </c>
    </row>
    <row r="405" spans="1:13" ht="126" outlineLevel="3">
      <c r="A405" s="63" t="s">
        <v>443</v>
      </c>
      <c r="B405" s="64" t="s">
        <v>353</v>
      </c>
      <c r="C405" s="64" t="s">
        <v>1</v>
      </c>
      <c r="D405" s="64" t="s">
        <v>3</v>
      </c>
      <c r="E405" s="64" t="s">
        <v>3</v>
      </c>
      <c r="F405" s="65">
        <f>F406</f>
        <v>4142944.31</v>
      </c>
      <c r="G405" s="65"/>
      <c r="I405" s="80">
        <v>4142944.31</v>
      </c>
      <c r="L405" s="80">
        <f t="shared" si="17"/>
        <v>0</v>
      </c>
      <c r="M405" s="80">
        <f t="shared" si="18"/>
        <v>0</v>
      </c>
    </row>
    <row r="406" spans="1:13" ht="78.75" outlineLevel="4">
      <c r="A406" s="63" t="s">
        <v>692</v>
      </c>
      <c r="B406" s="64" t="s">
        <v>353</v>
      </c>
      <c r="C406" s="64" t="s">
        <v>70</v>
      </c>
      <c r="D406" s="64" t="s">
        <v>3</v>
      </c>
      <c r="E406" s="64" t="s">
        <v>3</v>
      </c>
      <c r="F406" s="65">
        <f>F407</f>
        <v>4142944.31</v>
      </c>
      <c r="G406" s="65"/>
      <c r="I406" s="80">
        <v>4142944.31</v>
      </c>
      <c r="L406" s="80">
        <f t="shared" si="17"/>
        <v>0</v>
      </c>
      <c r="M406" s="80">
        <f t="shared" si="18"/>
        <v>0</v>
      </c>
    </row>
    <row r="407" spans="1:13" ht="15.75" outlineLevel="5">
      <c r="A407" s="63" t="s">
        <v>681</v>
      </c>
      <c r="B407" s="64" t="s">
        <v>353</v>
      </c>
      <c r="C407" s="64" t="s">
        <v>70</v>
      </c>
      <c r="D407" s="64" t="s">
        <v>165</v>
      </c>
      <c r="E407" s="64" t="s">
        <v>2</v>
      </c>
      <c r="F407" s="65">
        <f>Приложение_6!F836</f>
        <v>4142944.31</v>
      </c>
      <c r="G407" s="65"/>
      <c r="I407" s="80">
        <v>4142944.31</v>
      </c>
      <c r="L407" s="80">
        <f t="shared" si="17"/>
        <v>0</v>
      </c>
      <c r="M407" s="80">
        <f t="shared" si="18"/>
        <v>0</v>
      </c>
    </row>
    <row r="408" spans="1:13" ht="47.25" outlineLevel="2">
      <c r="A408" s="63" t="s">
        <v>592</v>
      </c>
      <c r="B408" s="64" t="s">
        <v>354</v>
      </c>
      <c r="C408" s="64" t="s">
        <v>1</v>
      </c>
      <c r="D408" s="64" t="s">
        <v>3</v>
      </c>
      <c r="E408" s="64" t="s">
        <v>3</v>
      </c>
      <c r="F408" s="65">
        <f>F409</f>
        <v>108507</v>
      </c>
      <c r="G408" s="65"/>
      <c r="I408" s="80">
        <v>108507</v>
      </c>
      <c r="L408" s="80">
        <f t="shared" si="17"/>
        <v>0</v>
      </c>
      <c r="M408" s="80">
        <f t="shared" si="18"/>
        <v>0</v>
      </c>
    </row>
    <row r="409" spans="1:13" ht="126" outlineLevel="3">
      <c r="A409" s="63" t="s">
        <v>443</v>
      </c>
      <c r="B409" s="64" t="s">
        <v>355</v>
      </c>
      <c r="C409" s="64" t="s">
        <v>1</v>
      </c>
      <c r="D409" s="64" t="s">
        <v>3</v>
      </c>
      <c r="E409" s="64" t="s">
        <v>3</v>
      </c>
      <c r="F409" s="65">
        <f>F410</f>
        <v>108507</v>
      </c>
      <c r="G409" s="65"/>
      <c r="I409" s="80">
        <v>108507</v>
      </c>
      <c r="L409" s="80">
        <f t="shared" si="17"/>
        <v>0</v>
      </c>
      <c r="M409" s="80">
        <f t="shared" si="18"/>
        <v>0</v>
      </c>
    </row>
    <row r="410" spans="1:13" ht="78.75" outlineLevel="4">
      <c r="A410" s="63" t="s">
        <v>692</v>
      </c>
      <c r="B410" s="64" t="s">
        <v>355</v>
      </c>
      <c r="C410" s="64" t="s">
        <v>70</v>
      </c>
      <c r="D410" s="64" t="s">
        <v>3</v>
      </c>
      <c r="E410" s="64" t="s">
        <v>3</v>
      </c>
      <c r="F410" s="65">
        <f>F411</f>
        <v>108507</v>
      </c>
      <c r="G410" s="65"/>
      <c r="I410" s="80">
        <v>108507</v>
      </c>
      <c r="L410" s="80">
        <f t="shared" si="17"/>
        <v>0</v>
      </c>
      <c r="M410" s="80">
        <f t="shared" si="18"/>
        <v>0</v>
      </c>
    </row>
    <row r="411" spans="1:13" ht="15.75" outlineLevel="5">
      <c r="A411" s="63" t="s">
        <v>681</v>
      </c>
      <c r="B411" s="64" t="s">
        <v>355</v>
      </c>
      <c r="C411" s="64" t="s">
        <v>70</v>
      </c>
      <c r="D411" s="64" t="s">
        <v>165</v>
      </c>
      <c r="E411" s="64" t="s">
        <v>2</v>
      </c>
      <c r="F411" s="65">
        <f>Приложение_6!F839</f>
        <v>108507</v>
      </c>
      <c r="G411" s="65"/>
      <c r="I411" s="80">
        <v>108507</v>
      </c>
      <c r="L411" s="80">
        <f t="shared" si="17"/>
        <v>0</v>
      </c>
      <c r="M411" s="80">
        <f t="shared" si="18"/>
        <v>0</v>
      </c>
    </row>
    <row r="412" spans="1:13" ht="31.5" outlineLevel="1">
      <c r="A412" s="70" t="s">
        <v>647</v>
      </c>
      <c r="B412" s="71" t="s">
        <v>356</v>
      </c>
      <c r="C412" s="71" t="s">
        <v>1</v>
      </c>
      <c r="D412" s="71" t="s">
        <v>3</v>
      </c>
      <c r="E412" s="71" t="s">
        <v>3</v>
      </c>
      <c r="F412" s="72">
        <f>F413+F417+F427+F437</f>
        <v>15633510.509999998</v>
      </c>
      <c r="G412" s="72">
        <f>G413+G417+G427+G437</f>
        <v>1316946.22</v>
      </c>
      <c r="I412" s="80">
        <v>15626673.81</v>
      </c>
      <c r="J412" s="80">
        <v>1316946.22</v>
      </c>
      <c r="L412" s="80">
        <f t="shared" si="17"/>
        <v>-6836.699999997392</v>
      </c>
      <c r="M412" s="80">
        <f t="shared" si="18"/>
        <v>0</v>
      </c>
    </row>
    <row r="413" spans="1:13" ht="94.5" outlineLevel="2">
      <c r="A413" s="63" t="s">
        <v>593</v>
      </c>
      <c r="B413" s="64" t="s">
        <v>357</v>
      </c>
      <c r="C413" s="64" t="s">
        <v>1</v>
      </c>
      <c r="D413" s="64" t="s">
        <v>3</v>
      </c>
      <c r="E413" s="64" t="s">
        <v>3</v>
      </c>
      <c r="F413" s="65">
        <f>F414</f>
        <v>403464</v>
      </c>
      <c r="G413" s="65"/>
      <c r="I413" s="80">
        <v>403464</v>
      </c>
      <c r="L413" s="80">
        <f t="shared" si="17"/>
        <v>0</v>
      </c>
      <c r="M413" s="80">
        <f t="shared" si="18"/>
        <v>0</v>
      </c>
    </row>
    <row r="414" spans="1:13" ht="126" outlineLevel="3">
      <c r="A414" s="63" t="s">
        <v>443</v>
      </c>
      <c r="B414" s="64" t="s">
        <v>358</v>
      </c>
      <c r="C414" s="64" t="s">
        <v>1</v>
      </c>
      <c r="D414" s="64" t="s">
        <v>3</v>
      </c>
      <c r="E414" s="64" t="s">
        <v>3</v>
      </c>
      <c r="F414" s="65">
        <f>F415</f>
        <v>403464</v>
      </c>
      <c r="G414" s="65"/>
      <c r="I414" s="80">
        <v>403464</v>
      </c>
      <c r="L414" s="80">
        <f t="shared" si="17"/>
        <v>0</v>
      </c>
      <c r="M414" s="80">
        <f t="shared" si="18"/>
        <v>0</v>
      </c>
    </row>
    <row r="415" spans="1:13" ht="78.75" outlineLevel="4">
      <c r="A415" s="63" t="s">
        <v>692</v>
      </c>
      <c r="B415" s="64" t="s">
        <v>358</v>
      </c>
      <c r="C415" s="64" t="s">
        <v>70</v>
      </c>
      <c r="D415" s="64" t="s">
        <v>3</v>
      </c>
      <c r="E415" s="64" t="s">
        <v>3</v>
      </c>
      <c r="F415" s="65">
        <f>F416</f>
        <v>403464</v>
      </c>
      <c r="G415" s="65"/>
      <c r="I415" s="80">
        <v>403464</v>
      </c>
      <c r="L415" s="80">
        <f t="shared" si="17"/>
        <v>0</v>
      </c>
      <c r="M415" s="80">
        <f t="shared" si="18"/>
        <v>0</v>
      </c>
    </row>
    <row r="416" spans="1:13" ht="15.75" outlineLevel="5">
      <c r="A416" s="63" t="s">
        <v>681</v>
      </c>
      <c r="B416" s="64" t="s">
        <v>358</v>
      </c>
      <c r="C416" s="64" t="s">
        <v>70</v>
      </c>
      <c r="D416" s="64" t="s">
        <v>165</v>
      </c>
      <c r="E416" s="64" t="s">
        <v>2</v>
      </c>
      <c r="F416" s="65">
        <f>Приложение_6!F843</f>
        <v>403464</v>
      </c>
      <c r="G416" s="65"/>
      <c r="I416" s="80">
        <v>403464</v>
      </c>
      <c r="L416" s="80">
        <f t="shared" si="17"/>
        <v>0</v>
      </c>
      <c r="M416" s="80">
        <f t="shared" si="18"/>
        <v>0</v>
      </c>
    </row>
    <row r="417" spans="1:13" ht="47.25" outlineLevel="2">
      <c r="A417" s="63" t="s">
        <v>594</v>
      </c>
      <c r="B417" s="64" t="s">
        <v>359</v>
      </c>
      <c r="C417" s="64" t="s">
        <v>1</v>
      </c>
      <c r="D417" s="64" t="s">
        <v>3</v>
      </c>
      <c r="E417" s="64" t="s">
        <v>3</v>
      </c>
      <c r="F417" s="65">
        <f>F418+F421+F424</f>
        <v>10653011.069999998</v>
      </c>
      <c r="G417" s="65">
        <f>G423</f>
        <v>940214.59</v>
      </c>
      <c r="I417" s="80">
        <v>10653011.07</v>
      </c>
      <c r="J417" s="80">
        <v>940214.59</v>
      </c>
      <c r="L417" s="80">
        <f t="shared" si="17"/>
        <v>0</v>
      </c>
      <c r="M417" s="80">
        <f t="shared" si="18"/>
        <v>0</v>
      </c>
    </row>
    <row r="418" spans="1:13" ht="126" outlineLevel="3">
      <c r="A418" s="63" t="s">
        <v>443</v>
      </c>
      <c r="B418" s="64" t="s">
        <v>360</v>
      </c>
      <c r="C418" s="64" t="s">
        <v>1</v>
      </c>
      <c r="D418" s="64" t="s">
        <v>3</v>
      </c>
      <c r="E418" s="64" t="s">
        <v>3</v>
      </c>
      <c r="F418" s="65">
        <f>F419</f>
        <v>9438953.53</v>
      </c>
      <c r="G418" s="65"/>
      <c r="I418" s="80">
        <v>9438953.53</v>
      </c>
      <c r="L418" s="80">
        <f t="shared" si="17"/>
        <v>0</v>
      </c>
      <c r="M418" s="80">
        <f t="shared" si="18"/>
        <v>0</v>
      </c>
    </row>
    <row r="419" spans="1:13" ht="78.75" outlineLevel="4">
      <c r="A419" s="63" t="s">
        <v>692</v>
      </c>
      <c r="B419" s="64" t="s">
        <v>360</v>
      </c>
      <c r="C419" s="64" t="s">
        <v>70</v>
      </c>
      <c r="D419" s="64" t="s">
        <v>3</v>
      </c>
      <c r="E419" s="64" t="s">
        <v>3</v>
      </c>
      <c r="F419" s="65">
        <f>F420</f>
        <v>9438953.53</v>
      </c>
      <c r="G419" s="65"/>
      <c r="I419" s="80">
        <v>9438953.53</v>
      </c>
      <c r="L419" s="80">
        <f t="shared" si="17"/>
        <v>0</v>
      </c>
      <c r="M419" s="80">
        <f t="shared" si="18"/>
        <v>0</v>
      </c>
    </row>
    <row r="420" spans="1:13" ht="15.75" outlineLevel="5">
      <c r="A420" s="63" t="s">
        <v>681</v>
      </c>
      <c r="B420" s="64" t="s">
        <v>360</v>
      </c>
      <c r="C420" s="64" t="s">
        <v>70</v>
      </c>
      <c r="D420" s="64" t="s">
        <v>165</v>
      </c>
      <c r="E420" s="64" t="s">
        <v>2</v>
      </c>
      <c r="F420" s="65">
        <f>Приложение_6!F846</f>
        <v>9438953.53</v>
      </c>
      <c r="G420" s="65"/>
      <c r="I420" s="80">
        <v>9438953.53</v>
      </c>
      <c r="L420" s="80">
        <f t="shared" si="17"/>
        <v>0</v>
      </c>
      <c r="M420" s="80">
        <f t="shared" si="18"/>
        <v>0</v>
      </c>
    </row>
    <row r="421" spans="1:13" ht="126" outlineLevel="3">
      <c r="A421" s="63" t="s">
        <v>465</v>
      </c>
      <c r="B421" s="64" t="s">
        <v>361</v>
      </c>
      <c r="C421" s="64" t="s">
        <v>1</v>
      </c>
      <c r="D421" s="64" t="s">
        <v>3</v>
      </c>
      <c r="E421" s="64" t="s">
        <v>3</v>
      </c>
      <c r="F421" s="65">
        <f>F422</f>
        <v>940214.59</v>
      </c>
      <c r="G421" s="65">
        <f>G422</f>
        <v>940214.59</v>
      </c>
      <c r="I421" s="80">
        <v>940214.59</v>
      </c>
      <c r="J421" s="80">
        <v>940214.59</v>
      </c>
      <c r="L421" s="80">
        <f t="shared" si="17"/>
        <v>0</v>
      </c>
      <c r="M421" s="80">
        <f t="shared" si="18"/>
        <v>0</v>
      </c>
    </row>
    <row r="422" spans="1:13" ht="78.75" outlineLevel="4">
      <c r="A422" s="63" t="s">
        <v>692</v>
      </c>
      <c r="B422" s="64" t="s">
        <v>361</v>
      </c>
      <c r="C422" s="64" t="s">
        <v>70</v>
      </c>
      <c r="D422" s="64" t="s">
        <v>3</v>
      </c>
      <c r="E422" s="64" t="s">
        <v>3</v>
      </c>
      <c r="F422" s="65">
        <f>F423</f>
        <v>940214.59</v>
      </c>
      <c r="G422" s="65">
        <f>G423</f>
        <v>940214.59</v>
      </c>
      <c r="I422" s="80">
        <v>940214.59</v>
      </c>
      <c r="J422" s="80">
        <v>940214.59</v>
      </c>
      <c r="L422" s="80">
        <f t="shared" si="17"/>
        <v>0</v>
      </c>
      <c r="M422" s="80">
        <f t="shared" si="18"/>
        <v>0</v>
      </c>
    </row>
    <row r="423" spans="1:13" ht="15.75" outlineLevel="5">
      <c r="A423" s="63" t="s">
        <v>681</v>
      </c>
      <c r="B423" s="64" t="s">
        <v>361</v>
      </c>
      <c r="C423" s="64" t="s">
        <v>70</v>
      </c>
      <c r="D423" s="64" t="s">
        <v>165</v>
      </c>
      <c r="E423" s="64" t="s">
        <v>2</v>
      </c>
      <c r="F423" s="65">
        <f>Приложение_6!F848</f>
        <v>940214.59</v>
      </c>
      <c r="G423" s="65">
        <f>F423</f>
        <v>940214.59</v>
      </c>
      <c r="I423" s="80">
        <v>940214.59</v>
      </c>
      <c r="J423" s="80">
        <v>940214.59</v>
      </c>
      <c r="L423" s="80">
        <f t="shared" si="17"/>
        <v>0</v>
      </c>
      <c r="M423" s="80">
        <f t="shared" si="18"/>
        <v>0</v>
      </c>
    </row>
    <row r="424" spans="1:13" ht="126" outlineLevel="3">
      <c r="A424" s="63" t="s">
        <v>465</v>
      </c>
      <c r="B424" s="64" t="s">
        <v>362</v>
      </c>
      <c r="C424" s="64" t="s">
        <v>1</v>
      </c>
      <c r="D424" s="64" t="s">
        <v>3</v>
      </c>
      <c r="E424" s="64" t="s">
        <v>3</v>
      </c>
      <c r="F424" s="65">
        <f>F425</f>
        <v>273842.95</v>
      </c>
      <c r="G424" s="65"/>
      <c r="I424" s="80">
        <v>273842.95</v>
      </c>
      <c r="L424" s="80">
        <f t="shared" si="17"/>
        <v>0</v>
      </c>
      <c r="M424" s="80">
        <f t="shared" si="18"/>
        <v>0</v>
      </c>
    </row>
    <row r="425" spans="1:13" ht="78.75" outlineLevel="4">
      <c r="A425" s="63" t="s">
        <v>692</v>
      </c>
      <c r="B425" s="64" t="s">
        <v>362</v>
      </c>
      <c r="C425" s="64" t="s">
        <v>70</v>
      </c>
      <c r="D425" s="64" t="s">
        <v>3</v>
      </c>
      <c r="E425" s="64" t="s">
        <v>3</v>
      </c>
      <c r="F425" s="65">
        <f>F426</f>
        <v>273842.95</v>
      </c>
      <c r="G425" s="65"/>
      <c r="I425" s="80">
        <v>273842.95</v>
      </c>
      <c r="L425" s="80">
        <f t="shared" si="17"/>
        <v>0</v>
      </c>
      <c r="M425" s="80">
        <f t="shared" si="18"/>
        <v>0</v>
      </c>
    </row>
    <row r="426" spans="1:13" ht="15.75" outlineLevel="5">
      <c r="A426" s="63" t="s">
        <v>681</v>
      </c>
      <c r="B426" s="64" t="s">
        <v>362</v>
      </c>
      <c r="C426" s="64" t="s">
        <v>70</v>
      </c>
      <c r="D426" s="64" t="s">
        <v>165</v>
      </c>
      <c r="E426" s="64" t="s">
        <v>2</v>
      </c>
      <c r="F426" s="65">
        <f>Приложение_6!F850</f>
        <v>273842.95</v>
      </c>
      <c r="G426" s="65"/>
      <c r="I426" s="80">
        <v>273842.95</v>
      </c>
      <c r="L426" s="80">
        <f t="shared" si="17"/>
        <v>0</v>
      </c>
      <c r="M426" s="80">
        <f t="shared" si="18"/>
        <v>0</v>
      </c>
    </row>
    <row r="427" spans="1:13" ht="63" outlineLevel="2">
      <c r="A427" s="63" t="s">
        <v>595</v>
      </c>
      <c r="B427" s="64" t="s">
        <v>363</v>
      </c>
      <c r="C427" s="64" t="s">
        <v>1</v>
      </c>
      <c r="D427" s="64" t="s">
        <v>3</v>
      </c>
      <c r="E427" s="64" t="s">
        <v>3</v>
      </c>
      <c r="F427" s="65">
        <f>F428+F431+F434</f>
        <v>4226312.74</v>
      </c>
      <c r="G427" s="65">
        <f>G433</f>
        <v>376731.63</v>
      </c>
      <c r="I427" s="80">
        <v>4226312.74</v>
      </c>
      <c r="J427" s="80">
        <v>376731.63</v>
      </c>
      <c r="L427" s="80">
        <f t="shared" si="17"/>
        <v>0</v>
      </c>
      <c r="M427" s="80">
        <f t="shared" si="18"/>
        <v>0</v>
      </c>
    </row>
    <row r="428" spans="1:13" ht="126" outlineLevel="3">
      <c r="A428" s="63" t="s">
        <v>443</v>
      </c>
      <c r="B428" s="64" t="s">
        <v>364</v>
      </c>
      <c r="C428" s="64" t="s">
        <v>1</v>
      </c>
      <c r="D428" s="64" t="s">
        <v>3</v>
      </c>
      <c r="E428" s="64" t="s">
        <v>3</v>
      </c>
      <c r="F428" s="65">
        <f>F429</f>
        <v>3757081.49</v>
      </c>
      <c r="G428" s="65"/>
      <c r="I428" s="80">
        <v>3757081.49</v>
      </c>
      <c r="L428" s="80">
        <f t="shared" si="17"/>
        <v>0</v>
      </c>
      <c r="M428" s="80">
        <f t="shared" si="18"/>
        <v>0</v>
      </c>
    </row>
    <row r="429" spans="1:13" ht="78.75" outlineLevel="4">
      <c r="A429" s="63" t="s">
        <v>692</v>
      </c>
      <c r="B429" s="64" t="s">
        <v>364</v>
      </c>
      <c r="C429" s="64" t="s">
        <v>70</v>
      </c>
      <c r="D429" s="64" t="s">
        <v>3</v>
      </c>
      <c r="E429" s="64" t="s">
        <v>3</v>
      </c>
      <c r="F429" s="65">
        <f>F430</f>
        <v>3757081.49</v>
      </c>
      <c r="G429" s="65"/>
      <c r="I429" s="80">
        <v>3757081.49</v>
      </c>
      <c r="L429" s="80">
        <f t="shared" si="17"/>
        <v>0</v>
      </c>
      <c r="M429" s="80">
        <f t="shared" si="18"/>
        <v>0</v>
      </c>
    </row>
    <row r="430" spans="1:13" ht="15.75" outlineLevel="5">
      <c r="A430" s="63" t="s">
        <v>681</v>
      </c>
      <c r="B430" s="64" t="s">
        <v>364</v>
      </c>
      <c r="C430" s="64" t="s">
        <v>70</v>
      </c>
      <c r="D430" s="64" t="s">
        <v>165</v>
      </c>
      <c r="E430" s="64" t="s">
        <v>2</v>
      </c>
      <c r="F430" s="65">
        <f>Приложение_6!F853</f>
        <v>3757081.49</v>
      </c>
      <c r="G430" s="65"/>
      <c r="I430" s="80">
        <v>3757081.49</v>
      </c>
      <c r="L430" s="80">
        <f t="shared" si="17"/>
        <v>0</v>
      </c>
      <c r="M430" s="80">
        <f t="shared" si="18"/>
        <v>0</v>
      </c>
    </row>
    <row r="431" spans="1:13" ht="126" outlineLevel="3">
      <c r="A431" s="63" t="s">
        <v>465</v>
      </c>
      <c r="B431" s="64" t="s">
        <v>365</v>
      </c>
      <c r="C431" s="64" t="s">
        <v>1</v>
      </c>
      <c r="D431" s="64" t="s">
        <v>3</v>
      </c>
      <c r="E431" s="64" t="s">
        <v>3</v>
      </c>
      <c r="F431" s="65">
        <f>F432</f>
        <v>376731.63</v>
      </c>
      <c r="G431" s="65">
        <f>G432</f>
        <v>376731.63</v>
      </c>
      <c r="I431" s="80">
        <v>376731.63</v>
      </c>
      <c r="J431" s="80">
        <v>376731.63</v>
      </c>
      <c r="L431" s="80">
        <f t="shared" si="17"/>
        <v>0</v>
      </c>
      <c r="M431" s="80">
        <f t="shared" si="18"/>
        <v>0</v>
      </c>
    </row>
    <row r="432" spans="1:13" ht="78.75" outlineLevel="4">
      <c r="A432" s="63" t="s">
        <v>692</v>
      </c>
      <c r="B432" s="64" t="s">
        <v>365</v>
      </c>
      <c r="C432" s="64" t="s">
        <v>70</v>
      </c>
      <c r="D432" s="64" t="s">
        <v>3</v>
      </c>
      <c r="E432" s="64" t="s">
        <v>3</v>
      </c>
      <c r="F432" s="65">
        <f>F433</f>
        <v>376731.63</v>
      </c>
      <c r="G432" s="65">
        <f>G433</f>
        <v>376731.63</v>
      </c>
      <c r="I432" s="80">
        <v>376731.63</v>
      </c>
      <c r="J432" s="80">
        <v>376731.63</v>
      </c>
      <c r="L432" s="80">
        <f t="shared" si="17"/>
        <v>0</v>
      </c>
      <c r="M432" s="80">
        <f t="shared" si="18"/>
        <v>0</v>
      </c>
    </row>
    <row r="433" spans="1:13" ht="15.75" outlineLevel="5">
      <c r="A433" s="63" t="s">
        <v>681</v>
      </c>
      <c r="B433" s="64" t="s">
        <v>365</v>
      </c>
      <c r="C433" s="64" t="s">
        <v>70</v>
      </c>
      <c r="D433" s="64" t="s">
        <v>165</v>
      </c>
      <c r="E433" s="64" t="s">
        <v>2</v>
      </c>
      <c r="F433" s="65">
        <f>Приложение_6!F855</f>
        <v>376731.63</v>
      </c>
      <c r="G433" s="65">
        <f>F433</f>
        <v>376731.63</v>
      </c>
      <c r="I433" s="80">
        <v>376731.63</v>
      </c>
      <c r="J433" s="80">
        <v>376731.63</v>
      </c>
      <c r="L433" s="80">
        <f t="shared" si="17"/>
        <v>0</v>
      </c>
      <c r="M433" s="80">
        <f t="shared" si="18"/>
        <v>0</v>
      </c>
    </row>
    <row r="434" spans="1:13" ht="126" outlineLevel="3">
      <c r="A434" s="63" t="s">
        <v>465</v>
      </c>
      <c r="B434" s="64" t="s">
        <v>366</v>
      </c>
      <c r="C434" s="64" t="s">
        <v>1</v>
      </c>
      <c r="D434" s="64" t="s">
        <v>3</v>
      </c>
      <c r="E434" s="64" t="s">
        <v>3</v>
      </c>
      <c r="F434" s="65">
        <f>F435</f>
        <v>92499.62</v>
      </c>
      <c r="G434" s="65"/>
      <c r="I434" s="80">
        <v>92499.62</v>
      </c>
      <c r="L434" s="80">
        <f t="shared" si="17"/>
        <v>0</v>
      </c>
      <c r="M434" s="80">
        <f t="shared" si="18"/>
        <v>0</v>
      </c>
    </row>
    <row r="435" spans="1:13" ht="78.75" outlineLevel="4">
      <c r="A435" s="63" t="s">
        <v>692</v>
      </c>
      <c r="B435" s="64" t="s">
        <v>366</v>
      </c>
      <c r="C435" s="64" t="s">
        <v>70</v>
      </c>
      <c r="D435" s="64" t="s">
        <v>3</v>
      </c>
      <c r="E435" s="64" t="s">
        <v>3</v>
      </c>
      <c r="F435" s="65">
        <f>F436</f>
        <v>92499.62</v>
      </c>
      <c r="G435" s="65"/>
      <c r="I435" s="80">
        <v>92499.62</v>
      </c>
      <c r="L435" s="80">
        <f aca="true" t="shared" si="19" ref="L435:L523">I435-F435</f>
        <v>0</v>
      </c>
      <c r="M435" s="80">
        <f aca="true" t="shared" si="20" ref="M435:M523">J435-G435</f>
        <v>0</v>
      </c>
    </row>
    <row r="436" spans="1:13" ht="15.75" outlineLevel="5">
      <c r="A436" s="63" t="s">
        <v>681</v>
      </c>
      <c r="B436" s="64" t="s">
        <v>366</v>
      </c>
      <c r="C436" s="64" t="s">
        <v>70</v>
      </c>
      <c r="D436" s="64" t="s">
        <v>165</v>
      </c>
      <c r="E436" s="64" t="s">
        <v>2</v>
      </c>
      <c r="F436" s="65">
        <f>Приложение_6!F857</f>
        <v>92499.62</v>
      </c>
      <c r="G436" s="65"/>
      <c r="I436" s="80">
        <v>92499.62</v>
      </c>
      <c r="L436" s="80">
        <f t="shared" si="19"/>
        <v>0</v>
      </c>
      <c r="M436" s="80">
        <f t="shared" si="20"/>
        <v>0</v>
      </c>
    </row>
    <row r="437" spans="1:13" ht="31.5" outlineLevel="2">
      <c r="A437" s="63" t="s">
        <v>560</v>
      </c>
      <c r="B437" s="64" t="s">
        <v>367</v>
      </c>
      <c r="C437" s="64" t="s">
        <v>1</v>
      </c>
      <c r="D437" s="64" t="s">
        <v>3</v>
      </c>
      <c r="E437" s="64" t="s">
        <v>3</v>
      </c>
      <c r="F437" s="65">
        <f>F438</f>
        <v>350722.7</v>
      </c>
      <c r="G437" s="65"/>
      <c r="I437" s="80">
        <v>343886</v>
      </c>
      <c r="L437" s="80">
        <f t="shared" si="19"/>
        <v>-6836.700000000012</v>
      </c>
      <c r="M437" s="80">
        <f t="shared" si="20"/>
        <v>0</v>
      </c>
    </row>
    <row r="438" spans="1:13" ht="126" outlineLevel="3">
      <c r="A438" s="63" t="s">
        <v>432</v>
      </c>
      <c r="B438" s="64" t="s">
        <v>368</v>
      </c>
      <c r="C438" s="64" t="s">
        <v>1</v>
      </c>
      <c r="D438" s="64" t="s">
        <v>3</v>
      </c>
      <c r="E438" s="64" t="s">
        <v>3</v>
      </c>
      <c r="F438" s="65">
        <f>F439</f>
        <v>350722.7</v>
      </c>
      <c r="G438" s="65"/>
      <c r="I438" s="80">
        <v>343886</v>
      </c>
      <c r="L438" s="80">
        <f t="shared" si="19"/>
        <v>-6836.700000000012</v>
      </c>
      <c r="M438" s="80">
        <f t="shared" si="20"/>
        <v>0</v>
      </c>
    </row>
    <row r="439" spans="1:13" ht="78.75" outlineLevel="4">
      <c r="A439" s="63" t="s">
        <v>692</v>
      </c>
      <c r="B439" s="64" t="s">
        <v>368</v>
      </c>
      <c r="C439" s="64" t="s">
        <v>70</v>
      </c>
      <c r="D439" s="64" t="s">
        <v>3</v>
      </c>
      <c r="E439" s="64" t="s">
        <v>3</v>
      </c>
      <c r="F439" s="65">
        <f>F440</f>
        <v>350722.7</v>
      </c>
      <c r="G439" s="65"/>
      <c r="I439" s="80">
        <v>343886</v>
      </c>
      <c r="L439" s="80">
        <f t="shared" si="19"/>
        <v>-6836.700000000012</v>
      </c>
      <c r="M439" s="80">
        <f t="shared" si="20"/>
        <v>0</v>
      </c>
    </row>
    <row r="440" spans="1:13" ht="15.75" outlineLevel="5">
      <c r="A440" s="63" t="s">
        <v>681</v>
      </c>
      <c r="B440" s="64" t="s">
        <v>368</v>
      </c>
      <c r="C440" s="64" t="s">
        <v>70</v>
      </c>
      <c r="D440" s="64" t="s">
        <v>165</v>
      </c>
      <c r="E440" s="64" t="s">
        <v>2</v>
      </c>
      <c r="F440" s="65">
        <f>Приложение_6!F860</f>
        <v>350722.7</v>
      </c>
      <c r="G440" s="65"/>
      <c r="I440" s="80">
        <v>343886</v>
      </c>
      <c r="L440" s="80">
        <f t="shared" si="19"/>
        <v>-6836.700000000012</v>
      </c>
      <c r="M440" s="80">
        <f t="shared" si="20"/>
        <v>0</v>
      </c>
    </row>
    <row r="441" spans="1:13" ht="110.25" outlineLevel="1">
      <c r="A441" s="70" t="s">
        <v>648</v>
      </c>
      <c r="B441" s="71" t="s">
        <v>369</v>
      </c>
      <c r="C441" s="71" t="s">
        <v>1</v>
      </c>
      <c r="D441" s="71" t="s">
        <v>3</v>
      </c>
      <c r="E441" s="71" t="s">
        <v>3</v>
      </c>
      <c r="F441" s="72">
        <f>F442</f>
        <v>20900918.44</v>
      </c>
      <c r="G441" s="72"/>
      <c r="I441" s="80">
        <v>1598226.92</v>
      </c>
      <c r="L441" s="80">
        <f t="shared" si="19"/>
        <v>-19302691.520000003</v>
      </c>
      <c r="M441" s="80">
        <f t="shared" si="20"/>
        <v>0</v>
      </c>
    </row>
    <row r="442" spans="1:13" ht="94.5" outlineLevel="2">
      <c r="A442" s="63" t="s">
        <v>596</v>
      </c>
      <c r="B442" s="64" t="s">
        <v>370</v>
      </c>
      <c r="C442" s="64" t="s">
        <v>1</v>
      </c>
      <c r="D442" s="64" t="s">
        <v>3</v>
      </c>
      <c r="E442" s="64" t="s">
        <v>3</v>
      </c>
      <c r="F442" s="65">
        <f>F443</f>
        <v>20900918.44</v>
      </c>
      <c r="G442" s="65"/>
      <c r="I442" s="80">
        <v>1598226.92</v>
      </c>
      <c r="L442" s="80">
        <f t="shared" si="19"/>
        <v>-19302691.520000003</v>
      </c>
      <c r="M442" s="80">
        <f t="shared" si="20"/>
        <v>0</v>
      </c>
    </row>
    <row r="443" spans="1:13" ht="63" outlineLevel="3">
      <c r="A443" s="63" t="s">
        <v>456</v>
      </c>
      <c r="B443" s="64" t="s">
        <v>371</v>
      </c>
      <c r="C443" s="64" t="s">
        <v>1</v>
      </c>
      <c r="D443" s="64" t="s">
        <v>3</v>
      </c>
      <c r="E443" s="64" t="s">
        <v>3</v>
      </c>
      <c r="F443" s="65">
        <f>F444</f>
        <v>20900918.44</v>
      </c>
      <c r="G443" s="65"/>
      <c r="I443" s="80">
        <v>1598226.92</v>
      </c>
      <c r="L443" s="80">
        <f t="shared" si="19"/>
        <v>-19302691.520000003</v>
      </c>
      <c r="M443" s="80">
        <f t="shared" si="20"/>
        <v>0</v>
      </c>
    </row>
    <row r="444" spans="1:13" ht="78.75" outlineLevel="4">
      <c r="A444" s="63" t="s">
        <v>692</v>
      </c>
      <c r="B444" s="64" t="s">
        <v>371</v>
      </c>
      <c r="C444" s="64" t="s">
        <v>70</v>
      </c>
      <c r="D444" s="64" t="s">
        <v>3</v>
      </c>
      <c r="E444" s="64" t="s">
        <v>3</v>
      </c>
      <c r="F444" s="65">
        <f>F445</f>
        <v>20900918.44</v>
      </c>
      <c r="G444" s="65"/>
      <c r="I444" s="80">
        <v>1598226.92</v>
      </c>
      <c r="L444" s="80">
        <f t="shared" si="19"/>
        <v>-19302691.520000003</v>
      </c>
      <c r="M444" s="80">
        <f t="shared" si="20"/>
        <v>0</v>
      </c>
    </row>
    <row r="445" spans="1:13" ht="15.75" outlineLevel="5">
      <c r="A445" s="63" t="s">
        <v>681</v>
      </c>
      <c r="B445" s="64" t="s">
        <v>371</v>
      </c>
      <c r="C445" s="64" t="s">
        <v>70</v>
      </c>
      <c r="D445" s="64" t="s">
        <v>165</v>
      </c>
      <c r="E445" s="64" t="s">
        <v>2</v>
      </c>
      <c r="F445" s="65">
        <f>Приложение_6!F864</f>
        <v>20900918.44</v>
      </c>
      <c r="G445" s="65"/>
      <c r="I445" s="80">
        <v>1598226.92</v>
      </c>
      <c r="L445" s="80">
        <f t="shared" si="19"/>
        <v>-19302691.520000003</v>
      </c>
      <c r="M445" s="80">
        <f t="shared" si="20"/>
        <v>0</v>
      </c>
    </row>
    <row r="446" spans="1:13" ht="126">
      <c r="A446" s="70" t="s">
        <v>851</v>
      </c>
      <c r="B446" s="71" t="s">
        <v>160</v>
      </c>
      <c r="C446" s="71" t="s">
        <v>1</v>
      </c>
      <c r="D446" s="71" t="s">
        <v>3</v>
      </c>
      <c r="E446" s="71" t="s">
        <v>3</v>
      </c>
      <c r="F446" s="72">
        <f>F447+F461+F474+F487+F542+F556</f>
        <v>185168270.21</v>
      </c>
      <c r="G446" s="72">
        <f>G447+G461+G474+G487+G542+G556</f>
        <v>36055379.989999995</v>
      </c>
      <c r="I446" s="80">
        <v>134261895.74</v>
      </c>
      <c r="J446" s="80">
        <v>4646746.8</v>
      </c>
      <c r="L446" s="80">
        <f t="shared" si="19"/>
        <v>-50906374.47</v>
      </c>
      <c r="M446" s="80">
        <f t="shared" si="20"/>
        <v>-31408633.189999994</v>
      </c>
    </row>
    <row r="447" spans="1:13" ht="63" outlineLevel="1">
      <c r="A447" s="70" t="s">
        <v>632</v>
      </c>
      <c r="B447" s="71" t="s">
        <v>205</v>
      </c>
      <c r="C447" s="71" t="s">
        <v>1</v>
      </c>
      <c r="D447" s="71" t="s">
        <v>3</v>
      </c>
      <c r="E447" s="71" t="s">
        <v>3</v>
      </c>
      <c r="F447" s="72">
        <f>F448+F452+F457</f>
        <v>51464255.279999994</v>
      </c>
      <c r="G447" s="72">
        <f>G448+G452+G457</f>
        <v>21819763.19</v>
      </c>
      <c r="I447" s="80">
        <v>30564578.4</v>
      </c>
      <c r="L447" s="80">
        <f t="shared" si="19"/>
        <v>-20899676.879999995</v>
      </c>
      <c r="M447" s="80">
        <f t="shared" si="20"/>
        <v>-21819763.19</v>
      </c>
    </row>
    <row r="448" spans="1:13" ht="15.75" outlineLevel="2">
      <c r="A448" s="63" t="s">
        <v>546</v>
      </c>
      <c r="B448" s="64" t="s">
        <v>206</v>
      </c>
      <c r="C448" s="64" t="s">
        <v>1</v>
      </c>
      <c r="D448" s="64" t="s">
        <v>3</v>
      </c>
      <c r="E448" s="64" t="s">
        <v>3</v>
      </c>
      <c r="F448" s="65">
        <f>F449</f>
        <v>6532132.869999999</v>
      </c>
      <c r="G448" s="65"/>
      <c r="I448" s="80">
        <v>7452219.18</v>
      </c>
      <c r="L448" s="80">
        <f t="shared" si="19"/>
        <v>920086.3100000005</v>
      </c>
      <c r="M448" s="80">
        <f t="shared" si="20"/>
        <v>0</v>
      </c>
    </row>
    <row r="449" spans="1:13" ht="63" outlineLevel="3">
      <c r="A449" s="63" t="s">
        <v>456</v>
      </c>
      <c r="B449" s="64" t="s">
        <v>207</v>
      </c>
      <c r="C449" s="64" t="s">
        <v>1</v>
      </c>
      <c r="D449" s="64" t="s">
        <v>3</v>
      </c>
      <c r="E449" s="64" t="s">
        <v>3</v>
      </c>
      <c r="F449" s="65">
        <f>F450</f>
        <v>6532132.869999999</v>
      </c>
      <c r="G449" s="65"/>
      <c r="I449" s="80">
        <v>7452219.18</v>
      </c>
      <c r="L449" s="80">
        <f t="shared" si="19"/>
        <v>920086.3100000005</v>
      </c>
      <c r="M449" s="80">
        <f t="shared" si="20"/>
        <v>0</v>
      </c>
    </row>
    <row r="450" spans="1:13" ht="63" outlineLevel="4">
      <c r="A450" s="63" t="s">
        <v>689</v>
      </c>
      <c r="B450" s="64" t="s">
        <v>207</v>
      </c>
      <c r="C450" s="64" t="s">
        <v>17</v>
      </c>
      <c r="D450" s="64" t="s">
        <v>3</v>
      </c>
      <c r="E450" s="64" t="s">
        <v>3</v>
      </c>
      <c r="F450" s="65">
        <f>F451</f>
        <v>6532132.869999999</v>
      </c>
      <c r="G450" s="65"/>
      <c r="I450" s="80">
        <v>7452219.18</v>
      </c>
      <c r="L450" s="80">
        <f t="shared" si="19"/>
        <v>920086.3100000005</v>
      </c>
      <c r="M450" s="80">
        <f t="shared" si="20"/>
        <v>0</v>
      </c>
    </row>
    <row r="451" spans="1:13" ht="15.75" outlineLevel="5">
      <c r="A451" s="63" t="s">
        <v>672</v>
      </c>
      <c r="B451" s="64" t="s">
        <v>207</v>
      </c>
      <c r="C451" s="64" t="s">
        <v>17</v>
      </c>
      <c r="D451" s="64" t="s">
        <v>159</v>
      </c>
      <c r="E451" s="64" t="s">
        <v>2</v>
      </c>
      <c r="F451" s="65">
        <f>Приложение_6!F461</f>
        <v>6532132.869999999</v>
      </c>
      <c r="G451" s="65"/>
      <c r="I451" s="80">
        <v>7452219.18</v>
      </c>
      <c r="L451" s="80">
        <f t="shared" si="19"/>
        <v>920086.3100000005</v>
      </c>
      <c r="M451" s="80">
        <f t="shared" si="20"/>
        <v>0</v>
      </c>
    </row>
    <row r="452" spans="1:13" ht="110.25" outlineLevel="2">
      <c r="A452" s="63" t="s">
        <v>547</v>
      </c>
      <c r="B452" s="64" t="s">
        <v>208</v>
      </c>
      <c r="C452" s="64" t="s">
        <v>1</v>
      </c>
      <c r="D452" s="64" t="s">
        <v>3</v>
      </c>
      <c r="E452" s="64" t="s">
        <v>3</v>
      </c>
      <c r="F452" s="65">
        <f>F455+F453</f>
        <v>42141426.47</v>
      </c>
      <c r="G452" s="65">
        <f>G455+G453</f>
        <v>21819763.19</v>
      </c>
      <c r="I452" s="80">
        <v>20321663.28</v>
      </c>
      <c r="L452" s="80">
        <f t="shared" si="19"/>
        <v>-21819763.189999998</v>
      </c>
      <c r="M452" s="80">
        <f t="shared" si="20"/>
        <v>-21819763.19</v>
      </c>
    </row>
    <row r="453" spans="1:13" ht="141.75" outlineLevel="2">
      <c r="A453" s="36" t="s">
        <v>920</v>
      </c>
      <c r="B453" s="37" t="s">
        <v>921</v>
      </c>
      <c r="C453" s="64" t="s">
        <v>17</v>
      </c>
      <c r="D453" s="64" t="s">
        <v>3</v>
      </c>
      <c r="E453" s="64" t="s">
        <v>3</v>
      </c>
      <c r="F453" s="65">
        <f>F454</f>
        <v>21819763.19</v>
      </c>
      <c r="G453" s="65">
        <f>F453</f>
        <v>21819763.19</v>
      </c>
      <c r="I453" s="80"/>
      <c r="L453" s="80"/>
      <c r="M453" s="80"/>
    </row>
    <row r="454" spans="1:13" ht="15.75" outlineLevel="2">
      <c r="A454" s="63" t="s">
        <v>672</v>
      </c>
      <c r="B454" s="37" t="s">
        <v>921</v>
      </c>
      <c r="C454" s="64" t="s">
        <v>17</v>
      </c>
      <c r="D454" s="64" t="s">
        <v>159</v>
      </c>
      <c r="E454" s="64" t="s">
        <v>2</v>
      </c>
      <c r="F454" s="65">
        <f>Приложение_6!F463</f>
        <v>21819763.19</v>
      </c>
      <c r="G454" s="65">
        <f>F454</f>
        <v>21819763.19</v>
      </c>
      <c r="I454" s="80"/>
      <c r="L454" s="80"/>
      <c r="M454" s="80"/>
    </row>
    <row r="455" spans="1:13" ht="141.75" outlineLevel="4">
      <c r="A455" s="36" t="s">
        <v>920</v>
      </c>
      <c r="B455" s="37" t="s">
        <v>919</v>
      </c>
      <c r="C455" s="64" t="s">
        <v>17</v>
      </c>
      <c r="D455" s="64" t="s">
        <v>3</v>
      </c>
      <c r="E455" s="64" t="s">
        <v>3</v>
      </c>
      <c r="F455" s="65">
        <f>F456</f>
        <v>20321663.28</v>
      </c>
      <c r="G455" s="65"/>
      <c r="I455" s="80">
        <v>20321663.28</v>
      </c>
      <c r="L455" s="80">
        <f t="shared" si="19"/>
        <v>0</v>
      </c>
      <c r="M455" s="80">
        <f t="shared" si="20"/>
        <v>0</v>
      </c>
    </row>
    <row r="456" spans="1:13" ht="15.75" outlineLevel="5">
      <c r="A456" s="63" t="s">
        <v>672</v>
      </c>
      <c r="B456" s="37" t="s">
        <v>919</v>
      </c>
      <c r="C456" s="64" t="s">
        <v>17</v>
      </c>
      <c r="D456" s="64" t="s">
        <v>159</v>
      </c>
      <c r="E456" s="64" t="s">
        <v>2</v>
      </c>
      <c r="F456" s="65">
        <f>Приложение_6!F466</f>
        <v>20321663.28</v>
      </c>
      <c r="G456" s="65"/>
      <c r="I456" s="80">
        <v>20321663.28</v>
      </c>
      <c r="L456" s="80">
        <f t="shared" si="19"/>
        <v>0</v>
      </c>
      <c r="M456" s="80">
        <f t="shared" si="20"/>
        <v>0</v>
      </c>
    </row>
    <row r="457" spans="1:13" ht="110.25" outlineLevel="2">
      <c r="A457" s="63" t="s">
        <v>548</v>
      </c>
      <c r="B457" s="64" t="s">
        <v>209</v>
      </c>
      <c r="C457" s="64" t="s">
        <v>1</v>
      </c>
      <c r="D457" s="64" t="s">
        <v>3</v>
      </c>
      <c r="E457" s="64" t="s">
        <v>3</v>
      </c>
      <c r="F457" s="65">
        <f>F458</f>
        <v>2790695.94</v>
      </c>
      <c r="G457" s="65"/>
      <c r="I457" s="80">
        <v>2790695.94</v>
      </c>
      <c r="L457" s="80">
        <f t="shared" si="19"/>
        <v>0</v>
      </c>
      <c r="M457" s="80">
        <f t="shared" si="20"/>
        <v>0</v>
      </c>
    </row>
    <row r="458" spans="1:13" ht="63" outlineLevel="3">
      <c r="A458" s="63" t="s">
        <v>459</v>
      </c>
      <c r="B458" s="64" t="s">
        <v>210</v>
      </c>
      <c r="C458" s="64" t="s">
        <v>1</v>
      </c>
      <c r="D458" s="64" t="s">
        <v>3</v>
      </c>
      <c r="E458" s="64" t="s">
        <v>3</v>
      </c>
      <c r="F458" s="65">
        <f>F459</f>
        <v>2790695.94</v>
      </c>
      <c r="G458" s="65"/>
      <c r="I458" s="80">
        <v>2790695.94</v>
      </c>
      <c r="L458" s="80">
        <f t="shared" si="19"/>
        <v>0</v>
      </c>
      <c r="M458" s="80">
        <f t="shared" si="20"/>
        <v>0</v>
      </c>
    </row>
    <row r="459" spans="1:13" ht="63" outlineLevel="4">
      <c r="A459" s="63" t="s">
        <v>689</v>
      </c>
      <c r="B459" s="64" t="s">
        <v>210</v>
      </c>
      <c r="C459" s="64" t="s">
        <v>17</v>
      </c>
      <c r="D459" s="64" t="s">
        <v>3</v>
      </c>
      <c r="E459" s="64" t="s">
        <v>3</v>
      </c>
      <c r="F459" s="65">
        <f>F460</f>
        <v>2790695.94</v>
      </c>
      <c r="G459" s="65"/>
      <c r="I459" s="80">
        <v>2790695.94</v>
      </c>
      <c r="L459" s="80">
        <f t="shared" si="19"/>
        <v>0</v>
      </c>
      <c r="M459" s="80">
        <f t="shared" si="20"/>
        <v>0</v>
      </c>
    </row>
    <row r="460" spans="1:13" ht="15.75" outlineLevel="5">
      <c r="A460" s="63" t="s">
        <v>672</v>
      </c>
      <c r="B460" s="64" t="s">
        <v>210</v>
      </c>
      <c r="C460" s="64" t="s">
        <v>17</v>
      </c>
      <c r="D460" s="64" t="s">
        <v>159</v>
      </c>
      <c r="E460" s="64" t="s">
        <v>2</v>
      </c>
      <c r="F460" s="65">
        <f>Приложение_6!F469</f>
        <v>2790695.94</v>
      </c>
      <c r="G460" s="65"/>
      <c r="I460" s="80">
        <v>2790695.94</v>
      </c>
      <c r="L460" s="80">
        <f t="shared" si="19"/>
        <v>0</v>
      </c>
      <c r="M460" s="80">
        <f t="shared" si="20"/>
        <v>0</v>
      </c>
    </row>
    <row r="461" spans="1:13" ht="94.5" outlineLevel="1">
      <c r="A461" s="70" t="s">
        <v>633</v>
      </c>
      <c r="B461" s="71" t="s">
        <v>211</v>
      </c>
      <c r="C461" s="71" t="s">
        <v>1</v>
      </c>
      <c r="D461" s="71" t="s">
        <v>3</v>
      </c>
      <c r="E461" s="71" t="s">
        <v>3</v>
      </c>
      <c r="F461" s="72">
        <f>F462+F466+F470</f>
        <v>1869900</v>
      </c>
      <c r="G461" s="72"/>
      <c r="I461" s="80">
        <v>1626167.54</v>
      </c>
      <c r="L461" s="80">
        <f t="shared" si="19"/>
        <v>-243732.45999999996</v>
      </c>
      <c r="M461" s="80">
        <f t="shared" si="20"/>
        <v>0</v>
      </c>
    </row>
    <row r="462" spans="1:13" ht="31.5" outlineLevel="2">
      <c r="A462" s="63" t="s">
        <v>549</v>
      </c>
      <c r="B462" s="64" t="s">
        <v>212</v>
      </c>
      <c r="C462" s="64" t="s">
        <v>1</v>
      </c>
      <c r="D462" s="64" t="s">
        <v>3</v>
      </c>
      <c r="E462" s="64" t="s">
        <v>3</v>
      </c>
      <c r="F462" s="65">
        <f>F463</f>
        <v>490000</v>
      </c>
      <c r="G462" s="65"/>
      <c r="I462" s="80">
        <v>565337.64</v>
      </c>
      <c r="L462" s="80">
        <f t="shared" si="19"/>
        <v>75337.64000000001</v>
      </c>
      <c r="M462" s="80">
        <f t="shared" si="20"/>
        <v>0</v>
      </c>
    </row>
    <row r="463" spans="1:13" ht="47.25" outlineLevel="3">
      <c r="A463" s="63" t="s">
        <v>460</v>
      </c>
      <c r="B463" s="64" t="s">
        <v>213</v>
      </c>
      <c r="C463" s="64" t="s">
        <v>1</v>
      </c>
      <c r="D463" s="64" t="s">
        <v>3</v>
      </c>
      <c r="E463" s="64" t="s">
        <v>3</v>
      </c>
      <c r="F463" s="65">
        <f>F464</f>
        <v>490000</v>
      </c>
      <c r="G463" s="65"/>
      <c r="I463" s="80">
        <v>565337.64</v>
      </c>
      <c r="L463" s="80">
        <f t="shared" si="19"/>
        <v>75337.64000000001</v>
      </c>
      <c r="M463" s="80">
        <f t="shared" si="20"/>
        <v>0</v>
      </c>
    </row>
    <row r="464" spans="1:13" ht="63" outlineLevel="4">
      <c r="A464" s="63" t="s">
        <v>689</v>
      </c>
      <c r="B464" s="64" t="s">
        <v>213</v>
      </c>
      <c r="C464" s="64" t="s">
        <v>17</v>
      </c>
      <c r="D464" s="64" t="s">
        <v>3</v>
      </c>
      <c r="E464" s="64" t="s">
        <v>3</v>
      </c>
      <c r="F464" s="65">
        <f>F465</f>
        <v>490000</v>
      </c>
      <c r="G464" s="65"/>
      <c r="I464" s="80">
        <v>565337.64</v>
      </c>
      <c r="L464" s="80">
        <f t="shared" si="19"/>
        <v>75337.64000000001</v>
      </c>
      <c r="M464" s="80">
        <f t="shared" si="20"/>
        <v>0</v>
      </c>
    </row>
    <row r="465" spans="1:13" ht="15.75" outlineLevel="5">
      <c r="A465" s="63" t="s">
        <v>673</v>
      </c>
      <c r="B465" s="64" t="s">
        <v>213</v>
      </c>
      <c r="C465" s="64" t="s">
        <v>17</v>
      </c>
      <c r="D465" s="64" t="s">
        <v>159</v>
      </c>
      <c r="E465" s="64" t="s">
        <v>5</v>
      </c>
      <c r="F465" s="65">
        <f>Приложение_6!F485</f>
        <v>490000</v>
      </c>
      <c r="G465" s="65"/>
      <c r="I465" s="80">
        <v>565337.64</v>
      </c>
      <c r="L465" s="80">
        <f t="shared" si="19"/>
        <v>75337.64000000001</v>
      </c>
      <c r="M465" s="80">
        <f t="shared" si="20"/>
        <v>0</v>
      </c>
    </row>
    <row r="466" spans="1:13" ht="31.5" outlineLevel="2">
      <c r="A466" s="63" t="s">
        <v>550</v>
      </c>
      <c r="B466" s="64" t="s">
        <v>214</v>
      </c>
      <c r="C466" s="64" t="s">
        <v>1</v>
      </c>
      <c r="D466" s="64" t="s">
        <v>3</v>
      </c>
      <c r="E466" s="64" t="s">
        <v>3</v>
      </c>
      <c r="F466" s="65">
        <f>F467</f>
        <v>979999.9999999999</v>
      </c>
      <c r="G466" s="65"/>
      <c r="I466" s="80">
        <v>1060829.9</v>
      </c>
      <c r="L466" s="80">
        <f t="shared" si="19"/>
        <v>80829.90000000002</v>
      </c>
      <c r="M466" s="80">
        <f t="shared" si="20"/>
        <v>0</v>
      </c>
    </row>
    <row r="467" spans="1:13" ht="47.25" outlineLevel="3">
      <c r="A467" s="63" t="s">
        <v>460</v>
      </c>
      <c r="B467" s="64" t="s">
        <v>215</v>
      </c>
      <c r="C467" s="64" t="s">
        <v>1</v>
      </c>
      <c r="D467" s="64" t="s">
        <v>3</v>
      </c>
      <c r="E467" s="64" t="s">
        <v>3</v>
      </c>
      <c r="F467" s="65">
        <f>F468</f>
        <v>979999.9999999999</v>
      </c>
      <c r="G467" s="65"/>
      <c r="I467" s="80">
        <v>1060829.9</v>
      </c>
      <c r="L467" s="80">
        <f t="shared" si="19"/>
        <v>80829.90000000002</v>
      </c>
      <c r="M467" s="80">
        <f t="shared" si="20"/>
        <v>0</v>
      </c>
    </row>
    <row r="468" spans="1:13" ht="63" outlineLevel="4">
      <c r="A468" s="63" t="s">
        <v>689</v>
      </c>
      <c r="B468" s="64" t="s">
        <v>215</v>
      </c>
      <c r="C468" s="64" t="s">
        <v>17</v>
      </c>
      <c r="D468" s="64" t="s">
        <v>3</v>
      </c>
      <c r="E468" s="64" t="s">
        <v>3</v>
      </c>
      <c r="F468" s="65">
        <f>F469</f>
        <v>979999.9999999999</v>
      </c>
      <c r="G468" s="65"/>
      <c r="I468" s="80">
        <v>1060829.9</v>
      </c>
      <c r="L468" s="80">
        <f t="shared" si="19"/>
        <v>80829.90000000002</v>
      </c>
      <c r="M468" s="80">
        <f t="shared" si="20"/>
        <v>0</v>
      </c>
    </row>
    <row r="469" spans="1:13" ht="15.75" outlineLevel="5">
      <c r="A469" s="63" t="s">
        <v>673</v>
      </c>
      <c r="B469" s="64" t="s">
        <v>215</v>
      </c>
      <c r="C469" s="64" t="s">
        <v>17</v>
      </c>
      <c r="D469" s="64" t="s">
        <v>159</v>
      </c>
      <c r="E469" s="64" t="s">
        <v>5</v>
      </c>
      <c r="F469" s="65">
        <f>Приложение_6!F488</f>
        <v>979999.9999999999</v>
      </c>
      <c r="G469" s="65"/>
      <c r="I469" s="80">
        <v>1060829.9</v>
      </c>
      <c r="L469" s="80">
        <f t="shared" si="19"/>
        <v>80829.90000000002</v>
      </c>
      <c r="M469" s="80">
        <f t="shared" si="20"/>
        <v>0</v>
      </c>
    </row>
    <row r="470" spans="1:13" ht="78.75" outlineLevel="5">
      <c r="A470" s="36" t="s">
        <v>885</v>
      </c>
      <c r="B470" s="37" t="s">
        <v>886</v>
      </c>
      <c r="C470" s="37" t="s">
        <v>1</v>
      </c>
      <c r="D470" s="64" t="s">
        <v>3</v>
      </c>
      <c r="E470" s="64" t="s">
        <v>3</v>
      </c>
      <c r="F470" s="65">
        <f>F471</f>
        <v>399900</v>
      </c>
      <c r="G470" s="65"/>
      <c r="I470" s="80"/>
      <c r="L470" s="80"/>
      <c r="M470" s="80"/>
    </row>
    <row r="471" spans="1:13" ht="31.5" outlineLevel="5">
      <c r="A471" s="36" t="s">
        <v>441</v>
      </c>
      <c r="B471" s="37" t="s">
        <v>887</v>
      </c>
      <c r="C471" s="37" t="s">
        <v>1</v>
      </c>
      <c r="D471" s="64" t="s">
        <v>1</v>
      </c>
      <c r="E471" s="64" t="s">
        <v>1</v>
      </c>
      <c r="F471" s="65">
        <f>F472</f>
        <v>399900</v>
      </c>
      <c r="G471" s="65"/>
      <c r="I471" s="80"/>
      <c r="L471" s="80"/>
      <c r="M471" s="80"/>
    </row>
    <row r="472" spans="1:13" ht="63" outlineLevel="5">
      <c r="A472" s="36" t="s">
        <v>689</v>
      </c>
      <c r="B472" s="37" t="s">
        <v>887</v>
      </c>
      <c r="C472" s="37" t="s">
        <v>17</v>
      </c>
      <c r="D472" s="64" t="s">
        <v>1</v>
      </c>
      <c r="E472" s="64" t="s">
        <v>1</v>
      </c>
      <c r="F472" s="65">
        <f>F473</f>
        <v>399900</v>
      </c>
      <c r="G472" s="65"/>
      <c r="I472" s="80"/>
      <c r="L472" s="80"/>
      <c r="M472" s="80"/>
    </row>
    <row r="473" spans="1:13" ht="15.75" outlineLevel="5">
      <c r="A473" s="63" t="s">
        <v>673</v>
      </c>
      <c r="B473" s="37" t="s">
        <v>887</v>
      </c>
      <c r="C473" s="64" t="s">
        <v>17</v>
      </c>
      <c r="D473" s="64" t="s">
        <v>159</v>
      </c>
      <c r="E473" s="64" t="s">
        <v>5</v>
      </c>
      <c r="F473" s="65">
        <f>Приложение_6!F491</f>
        <v>399900</v>
      </c>
      <c r="G473" s="65"/>
      <c r="I473" s="80"/>
      <c r="L473" s="80"/>
      <c r="M473" s="80"/>
    </row>
    <row r="474" spans="1:13" ht="94.5" outlineLevel="1">
      <c r="A474" s="70" t="s">
        <v>634</v>
      </c>
      <c r="B474" s="71" t="s">
        <v>216</v>
      </c>
      <c r="C474" s="71" t="s">
        <v>1</v>
      </c>
      <c r="D474" s="71" t="s">
        <v>3</v>
      </c>
      <c r="E474" s="71" t="s">
        <v>3</v>
      </c>
      <c r="F474" s="72">
        <f>F475+F479+F483</f>
        <v>56798314.95</v>
      </c>
      <c r="G474" s="72"/>
      <c r="I474" s="80">
        <v>15992013.99</v>
      </c>
      <c r="L474" s="80">
        <f t="shared" si="19"/>
        <v>-40806300.96</v>
      </c>
      <c r="M474" s="80">
        <f t="shared" si="20"/>
        <v>0</v>
      </c>
    </row>
    <row r="475" spans="1:13" ht="110.25" hidden="1" outlineLevel="2">
      <c r="A475" s="63" t="s">
        <v>551</v>
      </c>
      <c r="B475" s="64" t="s">
        <v>217</v>
      </c>
      <c r="C475" s="64" t="s">
        <v>1</v>
      </c>
      <c r="D475" s="64" t="s">
        <v>3</v>
      </c>
      <c r="E475" s="64" t="s">
        <v>3</v>
      </c>
      <c r="F475" s="65">
        <f>F476</f>
        <v>0</v>
      </c>
      <c r="G475" s="65"/>
      <c r="I475" s="80">
        <v>13482633.29</v>
      </c>
      <c r="L475" s="80">
        <f t="shared" si="19"/>
        <v>13482633.29</v>
      </c>
      <c r="M475" s="80">
        <f t="shared" si="20"/>
        <v>0</v>
      </c>
    </row>
    <row r="476" spans="1:13" ht="47.25" hidden="1" outlineLevel="3">
      <c r="A476" s="63" t="s">
        <v>461</v>
      </c>
      <c r="B476" s="64" t="s">
        <v>218</v>
      </c>
      <c r="C476" s="64" t="s">
        <v>1</v>
      </c>
      <c r="D476" s="64" t="s">
        <v>3</v>
      </c>
      <c r="E476" s="64" t="s">
        <v>3</v>
      </c>
      <c r="F476" s="65">
        <f>F477</f>
        <v>0</v>
      </c>
      <c r="G476" s="65"/>
      <c r="I476" s="80">
        <v>13482633.29</v>
      </c>
      <c r="L476" s="80">
        <f t="shared" si="19"/>
        <v>13482633.29</v>
      </c>
      <c r="M476" s="80">
        <f t="shared" si="20"/>
        <v>0</v>
      </c>
    </row>
    <row r="477" spans="1:13" ht="31.5" hidden="1" outlineLevel="4">
      <c r="A477" s="63" t="s">
        <v>691</v>
      </c>
      <c r="B477" s="64" t="s">
        <v>218</v>
      </c>
      <c r="C477" s="64" t="s">
        <v>65</v>
      </c>
      <c r="D477" s="64" t="s">
        <v>3</v>
      </c>
      <c r="E477" s="64" t="s">
        <v>3</v>
      </c>
      <c r="F477" s="65">
        <f>F478</f>
        <v>0</v>
      </c>
      <c r="G477" s="65"/>
      <c r="I477" s="80">
        <v>13482633.29</v>
      </c>
      <c r="L477" s="80">
        <f t="shared" si="19"/>
        <v>13482633.29</v>
      </c>
      <c r="M477" s="80">
        <f t="shared" si="20"/>
        <v>0</v>
      </c>
    </row>
    <row r="478" spans="1:13" ht="15.75" hidden="1" outlineLevel="5">
      <c r="A478" s="63" t="s">
        <v>673</v>
      </c>
      <c r="B478" s="64" t="s">
        <v>218</v>
      </c>
      <c r="C478" s="64" t="s">
        <v>65</v>
      </c>
      <c r="D478" s="64" t="s">
        <v>159</v>
      </c>
      <c r="E478" s="64" t="s">
        <v>5</v>
      </c>
      <c r="F478" s="65">
        <f>Приложение_6!F495</f>
        <v>0</v>
      </c>
      <c r="G478" s="65"/>
      <c r="I478" s="80">
        <v>13482633.29</v>
      </c>
      <c r="L478" s="80">
        <f t="shared" si="19"/>
        <v>13482633.29</v>
      </c>
      <c r="M478" s="80">
        <f t="shared" si="20"/>
        <v>0</v>
      </c>
    </row>
    <row r="479" spans="1:13" ht="78.75" outlineLevel="2" collapsed="1">
      <c r="A479" s="63" t="s">
        <v>552</v>
      </c>
      <c r="B479" s="64" t="s">
        <v>219</v>
      </c>
      <c r="C479" s="64" t="s">
        <v>1</v>
      </c>
      <c r="D479" s="64" t="s">
        <v>3</v>
      </c>
      <c r="E479" s="64" t="s">
        <v>3</v>
      </c>
      <c r="F479" s="65">
        <f>F480</f>
        <v>26728.0600000003</v>
      </c>
      <c r="G479" s="112"/>
      <c r="I479" s="80">
        <v>2509380.7</v>
      </c>
      <c r="L479" s="80">
        <f t="shared" si="19"/>
        <v>2482652.6399999997</v>
      </c>
      <c r="M479" s="80">
        <f t="shared" si="20"/>
        <v>0</v>
      </c>
    </row>
    <row r="480" spans="1:13" ht="31.5" customHeight="1" outlineLevel="3">
      <c r="A480" s="63" t="s">
        <v>441</v>
      </c>
      <c r="B480" s="64" t="s">
        <v>220</v>
      </c>
      <c r="C480" s="64" t="s">
        <v>1</v>
      </c>
      <c r="D480" s="64" t="s">
        <v>3</v>
      </c>
      <c r="E480" s="64" t="s">
        <v>3</v>
      </c>
      <c r="F480" s="65">
        <f>F481</f>
        <v>26728.0600000003</v>
      </c>
      <c r="G480" s="112"/>
      <c r="I480" s="80">
        <v>2509380.7</v>
      </c>
      <c r="L480" s="80">
        <f t="shared" si="19"/>
        <v>2482652.6399999997</v>
      </c>
      <c r="M480" s="80">
        <f t="shared" si="20"/>
        <v>0</v>
      </c>
    </row>
    <row r="481" spans="1:13" ht="63" outlineLevel="4">
      <c r="A481" s="63" t="s">
        <v>689</v>
      </c>
      <c r="B481" s="64" t="s">
        <v>220</v>
      </c>
      <c r="C481" s="64" t="s">
        <v>17</v>
      </c>
      <c r="D481" s="64" t="s">
        <v>3</v>
      </c>
      <c r="E481" s="64" t="s">
        <v>3</v>
      </c>
      <c r="F481" s="65">
        <f>F482</f>
        <v>26728.0600000003</v>
      </c>
      <c r="G481" s="112"/>
      <c r="I481" s="80">
        <v>2509380.7</v>
      </c>
      <c r="L481" s="80">
        <f t="shared" si="19"/>
        <v>2482652.6399999997</v>
      </c>
      <c r="M481" s="80">
        <f t="shared" si="20"/>
        <v>0</v>
      </c>
    </row>
    <row r="482" spans="1:13" ht="15.75" outlineLevel="5">
      <c r="A482" s="63" t="s">
        <v>673</v>
      </c>
      <c r="B482" s="64" t="s">
        <v>220</v>
      </c>
      <c r="C482" s="64" t="s">
        <v>17</v>
      </c>
      <c r="D482" s="64" t="s">
        <v>159</v>
      </c>
      <c r="E482" s="64" t="s">
        <v>5</v>
      </c>
      <c r="F482" s="65">
        <f>Приложение_6!F498</f>
        <v>26728.0600000003</v>
      </c>
      <c r="G482" s="112"/>
      <c r="I482" s="80">
        <v>2509380.7</v>
      </c>
      <c r="L482" s="80">
        <f t="shared" si="19"/>
        <v>2482652.6399999997</v>
      </c>
      <c r="M482" s="80">
        <f t="shared" si="20"/>
        <v>0</v>
      </c>
    </row>
    <row r="483" spans="1:13" ht="63" outlineLevel="5">
      <c r="A483" s="63" t="s">
        <v>925</v>
      </c>
      <c r="B483" s="104" t="s">
        <v>926</v>
      </c>
      <c r="C483" s="64" t="s">
        <v>1</v>
      </c>
      <c r="D483" s="64" t="s">
        <v>3</v>
      </c>
      <c r="E483" s="64" t="s">
        <v>3</v>
      </c>
      <c r="F483" s="65">
        <f>F484</f>
        <v>56771586.89</v>
      </c>
      <c r="G483" s="65"/>
      <c r="I483" s="80"/>
      <c r="L483" s="80"/>
      <c r="M483" s="80"/>
    </row>
    <row r="484" spans="1:13" ht="31.5" outlineLevel="5">
      <c r="A484" s="63" t="s">
        <v>441</v>
      </c>
      <c r="B484" s="104" t="s">
        <v>927</v>
      </c>
      <c r="C484" s="64" t="s">
        <v>1</v>
      </c>
      <c r="D484" s="64" t="s">
        <v>3</v>
      </c>
      <c r="E484" s="64" t="s">
        <v>3</v>
      </c>
      <c r="F484" s="65">
        <f>F485</f>
        <v>56771586.89</v>
      </c>
      <c r="G484" s="65"/>
      <c r="I484" s="80"/>
      <c r="L484" s="80"/>
      <c r="M484" s="80"/>
    </row>
    <row r="485" spans="1:13" ht="63" outlineLevel="5">
      <c r="A485" s="63" t="s">
        <v>689</v>
      </c>
      <c r="B485" s="104" t="s">
        <v>927</v>
      </c>
      <c r="C485" s="64" t="s">
        <v>17</v>
      </c>
      <c r="D485" s="64" t="s">
        <v>3</v>
      </c>
      <c r="E485" s="64" t="s">
        <v>3</v>
      </c>
      <c r="F485" s="65">
        <f>F486</f>
        <v>56771586.89</v>
      </c>
      <c r="G485" s="65"/>
      <c r="I485" s="80"/>
      <c r="L485" s="80"/>
      <c r="M485" s="80"/>
    </row>
    <row r="486" spans="1:13" ht="15.75" outlineLevel="5">
      <c r="A486" s="63" t="s">
        <v>673</v>
      </c>
      <c r="B486" s="104" t="s">
        <v>927</v>
      </c>
      <c r="C486" s="64" t="s">
        <v>17</v>
      </c>
      <c r="D486" s="64" t="s">
        <v>159</v>
      </c>
      <c r="E486" s="64" t="s">
        <v>5</v>
      </c>
      <c r="F486" s="65">
        <f>Приложение_6!F501</f>
        <v>56771586.89</v>
      </c>
      <c r="G486" s="65"/>
      <c r="I486" s="80"/>
      <c r="L486" s="80"/>
      <c r="M486" s="80"/>
    </row>
    <row r="487" spans="1:13" ht="78.75" customHeight="1" outlineLevel="1">
      <c r="A487" s="70" t="s">
        <v>626</v>
      </c>
      <c r="B487" s="71" t="s">
        <v>161</v>
      </c>
      <c r="C487" s="71" t="s">
        <v>1</v>
      </c>
      <c r="D487" s="71" t="s">
        <v>3</v>
      </c>
      <c r="E487" s="71" t="s">
        <v>3</v>
      </c>
      <c r="F487" s="72">
        <f>F488+F492+F496+F503+F523+F527+F534+F510+F539</f>
        <v>50042195.120000005</v>
      </c>
      <c r="G487" s="72">
        <f>G488+G492+G496+G503+G523+G527+G534+G510+G539</f>
        <v>13197250</v>
      </c>
      <c r="I487" s="80">
        <v>57149310.92</v>
      </c>
      <c r="J487" s="76">
        <v>3608380</v>
      </c>
      <c r="L487" s="80">
        <f t="shared" si="19"/>
        <v>7107115.799999997</v>
      </c>
      <c r="M487" s="80">
        <f t="shared" si="20"/>
        <v>-9588870</v>
      </c>
    </row>
    <row r="488" spans="1:13" ht="78.75" outlineLevel="2">
      <c r="A488" s="63" t="s">
        <v>553</v>
      </c>
      <c r="B488" s="64" t="s">
        <v>221</v>
      </c>
      <c r="C488" s="64" t="s">
        <v>1</v>
      </c>
      <c r="D488" s="64" t="s">
        <v>3</v>
      </c>
      <c r="E488" s="64" t="s">
        <v>3</v>
      </c>
      <c r="F488" s="65">
        <f>F489</f>
        <v>15425832.75</v>
      </c>
      <c r="G488" s="65"/>
      <c r="I488" s="80">
        <v>15953571.42</v>
      </c>
      <c r="L488" s="80">
        <f t="shared" si="19"/>
        <v>527738.6699999999</v>
      </c>
      <c r="M488" s="80">
        <f t="shared" si="20"/>
        <v>0</v>
      </c>
    </row>
    <row r="489" spans="1:13" ht="63" outlineLevel="3">
      <c r="A489" s="63" t="s">
        <v>462</v>
      </c>
      <c r="B489" s="64" t="s">
        <v>222</v>
      </c>
      <c r="C489" s="64" t="s">
        <v>1</v>
      </c>
      <c r="D489" s="64" t="s">
        <v>3</v>
      </c>
      <c r="E489" s="64" t="s">
        <v>3</v>
      </c>
      <c r="F489" s="65">
        <f>F490</f>
        <v>15425832.75</v>
      </c>
      <c r="G489" s="65"/>
      <c r="I489" s="80">
        <v>15953571.42</v>
      </c>
      <c r="L489" s="80">
        <f t="shared" si="19"/>
        <v>527738.6699999999</v>
      </c>
      <c r="M489" s="80">
        <f t="shared" si="20"/>
        <v>0</v>
      </c>
    </row>
    <row r="490" spans="1:13" ht="63" outlineLevel="4">
      <c r="A490" s="63" t="s">
        <v>689</v>
      </c>
      <c r="B490" s="64" t="s">
        <v>222</v>
      </c>
      <c r="C490" s="64" t="s">
        <v>17</v>
      </c>
      <c r="D490" s="64" t="s">
        <v>3</v>
      </c>
      <c r="E490" s="64" t="s">
        <v>3</v>
      </c>
      <c r="F490" s="65">
        <f>F491</f>
        <v>15425832.75</v>
      </c>
      <c r="G490" s="65"/>
      <c r="I490" s="80">
        <v>15953571.42</v>
      </c>
      <c r="L490" s="80">
        <f t="shared" si="19"/>
        <v>527738.6699999999</v>
      </c>
      <c r="M490" s="80">
        <f t="shared" si="20"/>
        <v>0</v>
      </c>
    </row>
    <row r="491" spans="1:13" ht="15.75" outlineLevel="5">
      <c r="A491" s="63" t="s">
        <v>674</v>
      </c>
      <c r="B491" s="64" t="s">
        <v>222</v>
      </c>
      <c r="C491" s="64" t="s">
        <v>17</v>
      </c>
      <c r="D491" s="64" t="s">
        <v>159</v>
      </c>
      <c r="E491" s="64" t="s">
        <v>14</v>
      </c>
      <c r="F491" s="65">
        <f>Приложение_6!F507</f>
        <v>15425832.75</v>
      </c>
      <c r="G491" s="65"/>
      <c r="I491" s="80">
        <v>15953571.42</v>
      </c>
      <c r="L491" s="80">
        <f t="shared" si="19"/>
        <v>527738.6699999999</v>
      </c>
      <c r="M491" s="80">
        <f t="shared" si="20"/>
        <v>0</v>
      </c>
    </row>
    <row r="492" spans="1:13" ht="110.25" outlineLevel="2">
      <c r="A492" s="63" t="s">
        <v>554</v>
      </c>
      <c r="B492" s="64" t="s">
        <v>223</v>
      </c>
      <c r="C492" s="64" t="s">
        <v>1</v>
      </c>
      <c r="D492" s="64" t="s">
        <v>3</v>
      </c>
      <c r="E492" s="64" t="s">
        <v>3</v>
      </c>
      <c r="F492" s="65">
        <f>F493</f>
        <v>10594692.879999999</v>
      </c>
      <c r="G492" s="65"/>
      <c r="I492" s="80">
        <v>13274260.85</v>
      </c>
      <c r="L492" s="80">
        <f t="shared" si="19"/>
        <v>2679567.9700000007</v>
      </c>
      <c r="M492" s="80">
        <f t="shared" si="20"/>
        <v>0</v>
      </c>
    </row>
    <row r="493" spans="1:13" ht="63" outlineLevel="3">
      <c r="A493" s="63" t="s">
        <v>463</v>
      </c>
      <c r="B493" s="64" t="s">
        <v>224</v>
      </c>
      <c r="C493" s="64" t="s">
        <v>1</v>
      </c>
      <c r="D493" s="64" t="s">
        <v>3</v>
      </c>
      <c r="E493" s="64" t="s">
        <v>3</v>
      </c>
      <c r="F493" s="65">
        <f>F494</f>
        <v>10594692.879999999</v>
      </c>
      <c r="G493" s="65"/>
      <c r="I493" s="80">
        <v>13274260.85</v>
      </c>
      <c r="L493" s="80">
        <f t="shared" si="19"/>
        <v>2679567.9700000007</v>
      </c>
      <c r="M493" s="80">
        <f t="shared" si="20"/>
        <v>0</v>
      </c>
    </row>
    <row r="494" spans="1:13" ht="63" outlineLevel="4">
      <c r="A494" s="63" t="s">
        <v>689</v>
      </c>
      <c r="B494" s="64" t="s">
        <v>224</v>
      </c>
      <c r="C494" s="64" t="s">
        <v>17</v>
      </c>
      <c r="D494" s="64" t="s">
        <v>3</v>
      </c>
      <c r="E494" s="64" t="s">
        <v>3</v>
      </c>
      <c r="F494" s="65">
        <f>F495</f>
        <v>10594692.879999999</v>
      </c>
      <c r="G494" s="65"/>
      <c r="I494" s="80">
        <v>13274260.85</v>
      </c>
      <c r="L494" s="80">
        <f t="shared" si="19"/>
        <v>2679567.9700000007</v>
      </c>
      <c r="M494" s="80">
        <f t="shared" si="20"/>
        <v>0</v>
      </c>
    </row>
    <row r="495" spans="1:13" ht="15.75" outlineLevel="5">
      <c r="A495" s="63" t="s">
        <v>674</v>
      </c>
      <c r="B495" s="64" t="s">
        <v>224</v>
      </c>
      <c r="C495" s="64" t="s">
        <v>17</v>
      </c>
      <c r="D495" s="64" t="s">
        <v>159</v>
      </c>
      <c r="E495" s="64" t="s">
        <v>14</v>
      </c>
      <c r="F495" s="65">
        <f>Приложение_6!F510</f>
        <v>10594692.879999999</v>
      </c>
      <c r="G495" s="65"/>
      <c r="I495" s="80">
        <v>13274260.85</v>
      </c>
      <c r="L495" s="80">
        <f t="shared" si="19"/>
        <v>2679567.9700000007</v>
      </c>
      <c r="M495" s="80">
        <f t="shared" si="20"/>
        <v>0</v>
      </c>
    </row>
    <row r="496" spans="1:13" ht="110.25" outlineLevel="2">
      <c r="A496" s="63" t="s">
        <v>555</v>
      </c>
      <c r="B496" s="64" t="s">
        <v>225</v>
      </c>
      <c r="C496" s="64" t="s">
        <v>1</v>
      </c>
      <c r="D496" s="64" t="s">
        <v>3</v>
      </c>
      <c r="E496" s="64" t="s">
        <v>3</v>
      </c>
      <c r="F496" s="65">
        <f>F497+F500</f>
        <v>1825978.28</v>
      </c>
      <c r="G496" s="65"/>
      <c r="I496" s="80">
        <v>403340.65</v>
      </c>
      <c r="L496" s="80">
        <f t="shared" si="19"/>
        <v>-1422637.63</v>
      </c>
      <c r="M496" s="80">
        <f t="shared" si="20"/>
        <v>0</v>
      </c>
    </row>
    <row r="497" spans="1:13" ht="63" outlineLevel="3">
      <c r="A497" s="63" t="s">
        <v>456</v>
      </c>
      <c r="B497" s="64" t="s">
        <v>226</v>
      </c>
      <c r="C497" s="64" t="s">
        <v>1</v>
      </c>
      <c r="D497" s="64" t="s">
        <v>3</v>
      </c>
      <c r="E497" s="64" t="s">
        <v>3</v>
      </c>
      <c r="F497" s="65">
        <f>F498</f>
        <v>1728197.8900000001</v>
      </c>
      <c r="G497" s="65"/>
      <c r="I497" s="80">
        <v>403340.65</v>
      </c>
      <c r="L497" s="80">
        <f t="shared" si="19"/>
        <v>-1324857.2400000002</v>
      </c>
      <c r="M497" s="80">
        <f t="shared" si="20"/>
        <v>0</v>
      </c>
    </row>
    <row r="498" spans="1:13" ht="63" outlineLevel="4">
      <c r="A498" s="63" t="s">
        <v>689</v>
      </c>
      <c r="B498" s="64" t="s">
        <v>226</v>
      </c>
      <c r="C498" s="64" t="s">
        <v>17</v>
      </c>
      <c r="D498" s="64" t="s">
        <v>3</v>
      </c>
      <c r="E498" s="64" t="s">
        <v>3</v>
      </c>
      <c r="F498" s="65">
        <f>F499</f>
        <v>1728197.8900000001</v>
      </c>
      <c r="G498" s="65"/>
      <c r="I498" s="80">
        <v>403340.65</v>
      </c>
      <c r="L498" s="80">
        <f t="shared" si="19"/>
        <v>-1324857.2400000002</v>
      </c>
      <c r="M498" s="80">
        <f t="shared" si="20"/>
        <v>0</v>
      </c>
    </row>
    <row r="499" spans="1:13" ht="15.75" outlineLevel="5">
      <c r="A499" s="63" t="s">
        <v>674</v>
      </c>
      <c r="B499" s="64" t="s">
        <v>226</v>
      </c>
      <c r="C499" s="64" t="s">
        <v>17</v>
      </c>
      <c r="D499" s="64" t="s">
        <v>159</v>
      </c>
      <c r="E499" s="64" t="s">
        <v>14</v>
      </c>
      <c r="F499" s="65">
        <f>Приложение_6!F513</f>
        <v>1728197.8900000001</v>
      </c>
      <c r="G499" s="65"/>
      <c r="I499" s="80">
        <v>403340.65</v>
      </c>
      <c r="L499" s="80">
        <f t="shared" si="19"/>
        <v>-1324857.2400000002</v>
      </c>
      <c r="M499" s="80">
        <f t="shared" si="20"/>
        <v>0</v>
      </c>
    </row>
    <row r="500" spans="1:13" ht="31.5" outlineLevel="5">
      <c r="A500" s="36" t="s">
        <v>441</v>
      </c>
      <c r="B500" s="64" t="s">
        <v>957</v>
      </c>
      <c r="C500" s="64" t="s">
        <v>1</v>
      </c>
      <c r="D500" s="64" t="s">
        <v>3</v>
      </c>
      <c r="E500" s="64" t="s">
        <v>3</v>
      </c>
      <c r="F500" s="65">
        <f>F501</f>
        <v>97780.39</v>
      </c>
      <c r="G500" s="65"/>
      <c r="I500" s="80"/>
      <c r="L500" s="80"/>
      <c r="M500" s="80"/>
    </row>
    <row r="501" spans="1:13" ht="63" outlineLevel="5">
      <c r="A501" s="63" t="s">
        <v>689</v>
      </c>
      <c r="B501" s="64" t="s">
        <v>957</v>
      </c>
      <c r="C501" s="64" t="s">
        <v>17</v>
      </c>
      <c r="D501" s="64" t="s">
        <v>3</v>
      </c>
      <c r="E501" s="64" t="s">
        <v>3</v>
      </c>
      <c r="F501" s="65">
        <f>F502</f>
        <v>97780.39</v>
      </c>
      <c r="G501" s="65"/>
      <c r="I501" s="80"/>
      <c r="L501" s="80"/>
      <c r="M501" s="80"/>
    </row>
    <row r="502" spans="1:13" ht="15.75" outlineLevel="5">
      <c r="A502" s="63" t="s">
        <v>674</v>
      </c>
      <c r="B502" s="64" t="s">
        <v>957</v>
      </c>
      <c r="C502" s="64" t="s">
        <v>17</v>
      </c>
      <c r="D502" s="64" t="s">
        <v>159</v>
      </c>
      <c r="E502" s="64" t="s">
        <v>14</v>
      </c>
      <c r="F502" s="65">
        <f>Приложение_6!F515</f>
        <v>97780.39</v>
      </c>
      <c r="G502" s="65"/>
      <c r="I502" s="80"/>
      <c r="L502" s="80"/>
      <c r="M502" s="80"/>
    </row>
    <row r="503" spans="1:13" ht="47.25" outlineLevel="2">
      <c r="A503" s="63" t="s">
        <v>556</v>
      </c>
      <c r="B503" s="64" t="s">
        <v>227</v>
      </c>
      <c r="C503" s="64" t="s">
        <v>1</v>
      </c>
      <c r="D503" s="64" t="s">
        <v>3</v>
      </c>
      <c r="E503" s="64" t="s">
        <v>3</v>
      </c>
      <c r="F503" s="65">
        <f>F504+F507</f>
        <v>604914.9400000002</v>
      </c>
      <c r="G503" s="65"/>
      <c r="I503" s="80">
        <v>18716382.43</v>
      </c>
      <c r="L503" s="80">
        <f t="shared" si="19"/>
        <v>18111467.49</v>
      </c>
      <c r="M503" s="80">
        <f t="shared" si="20"/>
        <v>0</v>
      </c>
    </row>
    <row r="504" spans="1:13" ht="31.5" customHeight="1" outlineLevel="3">
      <c r="A504" s="63" t="s">
        <v>441</v>
      </c>
      <c r="B504" s="64" t="s">
        <v>228</v>
      </c>
      <c r="C504" s="64" t="s">
        <v>1</v>
      </c>
      <c r="D504" s="64" t="s">
        <v>3</v>
      </c>
      <c r="E504" s="64" t="s">
        <v>3</v>
      </c>
      <c r="F504" s="65">
        <f>F505</f>
        <v>604914.9400000002</v>
      </c>
      <c r="G504" s="65"/>
      <c r="I504" s="80">
        <v>936558.43</v>
      </c>
      <c r="L504" s="80">
        <f t="shared" si="19"/>
        <v>331643.4899999999</v>
      </c>
      <c r="M504" s="80">
        <f t="shared" si="20"/>
        <v>0</v>
      </c>
    </row>
    <row r="505" spans="1:13" ht="63" outlineLevel="4">
      <c r="A505" s="63" t="s">
        <v>689</v>
      </c>
      <c r="B505" s="64" t="s">
        <v>228</v>
      </c>
      <c r="C505" s="64" t="s">
        <v>17</v>
      </c>
      <c r="D505" s="64" t="s">
        <v>3</v>
      </c>
      <c r="E505" s="64" t="s">
        <v>3</v>
      </c>
      <c r="F505" s="65">
        <f>F506</f>
        <v>604914.9400000002</v>
      </c>
      <c r="G505" s="65"/>
      <c r="I505" s="80">
        <v>936558.43</v>
      </c>
      <c r="L505" s="80">
        <f t="shared" si="19"/>
        <v>331643.4899999999</v>
      </c>
      <c r="M505" s="80">
        <f t="shared" si="20"/>
        <v>0</v>
      </c>
    </row>
    <row r="506" spans="1:13" ht="15.75" outlineLevel="5">
      <c r="A506" s="63" t="s">
        <v>674</v>
      </c>
      <c r="B506" s="64" t="s">
        <v>228</v>
      </c>
      <c r="C506" s="64" t="s">
        <v>17</v>
      </c>
      <c r="D506" s="64" t="s">
        <v>159</v>
      </c>
      <c r="E506" s="64" t="s">
        <v>14</v>
      </c>
      <c r="F506" s="65">
        <f>Приложение_6!F518</f>
        <v>604914.9400000002</v>
      </c>
      <c r="G506" s="65"/>
      <c r="I506" s="80">
        <v>936558.43</v>
      </c>
      <c r="L506" s="80">
        <f t="shared" si="19"/>
        <v>331643.4899999999</v>
      </c>
      <c r="M506" s="80">
        <f t="shared" si="20"/>
        <v>0</v>
      </c>
    </row>
    <row r="507" spans="1:13" ht="78.75" hidden="1" outlineLevel="3">
      <c r="A507" s="63" t="s">
        <v>464</v>
      </c>
      <c r="B507" s="64" t="s">
        <v>229</v>
      </c>
      <c r="C507" s="64" t="s">
        <v>1</v>
      </c>
      <c r="D507" s="64" t="s">
        <v>3</v>
      </c>
      <c r="E507" s="64" t="s">
        <v>3</v>
      </c>
      <c r="F507" s="65">
        <f>F508</f>
        <v>0</v>
      </c>
      <c r="G507" s="65"/>
      <c r="I507" s="80">
        <v>17779824</v>
      </c>
      <c r="L507" s="80">
        <f t="shared" si="19"/>
        <v>17779824</v>
      </c>
      <c r="M507" s="80">
        <f t="shared" si="20"/>
        <v>0</v>
      </c>
    </row>
    <row r="508" spans="1:13" ht="63" hidden="1" outlineLevel="4">
      <c r="A508" s="63" t="s">
        <v>867</v>
      </c>
      <c r="B508" s="64" t="s">
        <v>229</v>
      </c>
      <c r="C508" s="64" t="s">
        <v>143</v>
      </c>
      <c r="D508" s="64" t="s">
        <v>3</v>
      </c>
      <c r="E508" s="64" t="s">
        <v>3</v>
      </c>
      <c r="F508" s="65">
        <f>F509</f>
        <v>0</v>
      </c>
      <c r="G508" s="65"/>
      <c r="I508" s="80">
        <v>17779824</v>
      </c>
      <c r="L508" s="80">
        <f t="shared" si="19"/>
        <v>17779824</v>
      </c>
      <c r="M508" s="80">
        <f t="shared" si="20"/>
        <v>0</v>
      </c>
    </row>
    <row r="509" spans="1:13" ht="15.75" hidden="1" outlineLevel="5">
      <c r="A509" s="63" t="s">
        <v>674</v>
      </c>
      <c r="B509" s="64" t="s">
        <v>229</v>
      </c>
      <c r="C509" s="64" t="s">
        <v>143</v>
      </c>
      <c r="D509" s="64" t="s">
        <v>159</v>
      </c>
      <c r="E509" s="64" t="s">
        <v>14</v>
      </c>
      <c r="F509" s="65">
        <f>Приложение_6!F520</f>
        <v>0</v>
      </c>
      <c r="G509" s="65"/>
      <c r="I509" s="80">
        <v>17779824</v>
      </c>
      <c r="L509" s="80">
        <f t="shared" si="19"/>
        <v>17779824</v>
      </c>
      <c r="M509" s="80">
        <f t="shared" si="20"/>
        <v>0</v>
      </c>
    </row>
    <row r="510" spans="1:13" ht="47.25" outlineLevel="5">
      <c r="A510" s="36" t="s">
        <v>901</v>
      </c>
      <c r="B510" s="37" t="s">
        <v>902</v>
      </c>
      <c r="C510" s="37" t="s">
        <v>1</v>
      </c>
      <c r="D510" s="64" t="s">
        <v>3</v>
      </c>
      <c r="E510" s="64" t="s">
        <v>3</v>
      </c>
      <c r="F510" s="65">
        <f>F511+F514+F520+F517</f>
        <v>12034805.69</v>
      </c>
      <c r="G510" s="65">
        <f>G511+G514+G520</f>
        <v>9588870</v>
      </c>
      <c r="I510" s="80"/>
      <c r="L510" s="80"/>
      <c r="M510" s="80"/>
    </row>
    <row r="511" spans="1:13" ht="63" outlineLevel="5">
      <c r="A511" s="36" t="s">
        <v>456</v>
      </c>
      <c r="B511" s="37" t="s">
        <v>903</v>
      </c>
      <c r="C511" s="37" t="s">
        <v>1</v>
      </c>
      <c r="D511" s="64" t="s">
        <v>3</v>
      </c>
      <c r="E511" s="64" t="s">
        <v>3</v>
      </c>
      <c r="F511" s="65">
        <f>F512</f>
        <v>510635.69</v>
      </c>
      <c r="G511" s="65"/>
      <c r="I511" s="80"/>
      <c r="L511" s="80"/>
      <c r="M511" s="80"/>
    </row>
    <row r="512" spans="1:13" ht="63" outlineLevel="5">
      <c r="A512" s="36" t="s">
        <v>689</v>
      </c>
      <c r="B512" s="37" t="s">
        <v>903</v>
      </c>
      <c r="C512" s="37" t="s">
        <v>17</v>
      </c>
      <c r="D512" s="64" t="s">
        <v>3</v>
      </c>
      <c r="E512" s="64" t="s">
        <v>3</v>
      </c>
      <c r="F512" s="65">
        <f>F513</f>
        <v>510635.69</v>
      </c>
      <c r="G512" s="65"/>
      <c r="I512" s="80"/>
      <c r="L512" s="80"/>
      <c r="M512" s="80"/>
    </row>
    <row r="513" spans="1:13" ht="15.75" outlineLevel="5">
      <c r="A513" s="63" t="s">
        <v>674</v>
      </c>
      <c r="B513" s="37" t="s">
        <v>903</v>
      </c>
      <c r="C513" s="37" t="s">
        <v>17</v>
      </c>
      <c r="D513" s="64" t="s">
        <v>159</v>
      </c>
      <c r="E513" s="64" t="s">
        <v>14</v>
      </c>
      <c r="F513" s="65">
        <f>Приложение_6!F523</f>
        <v>510635.69</v>
      </c>
      <c r="G513" s="65"/>
      <c r="I513" s="80"/>
      <c r="L513" s="80"/>
      <c r="M513" s="80"/>
    </row>
    <row r="514" spans="1:13" ht="31.5" outlineLevel="5">
      <c r="A514" s="36" t="s">
        <v>441</v>
      </c>
      <c r="B514" s="37" t="s">
        <v>904</v>
      </c>
      <c r="C514" s="37" t="s">
        <v>1</v>
      </c>
      <c r="D514" s="64" t="s">
        <v>3</v>
      </c>
      <c r="E514" s="64" t="s">
        <v>3</v>
      </c>
      <c r="F514" s="65">
        <f>F515</f>
        <v>635300</v>
      </c>
      <c r="G514" s="65"/>
      <c r="I514" s="80"/>
      <c r="L514" s="80"/>
      <c r="M514" s="80"/>
    </row>
    <row r="515" spans="1:13" ht="63" outlineLevel="5">
      <c r="A515" s="36" t="s">
        <v>689</v>
      </c>
      <c r="B515" s="37" t="s">
        <v>904</v>
      </c>
      <c r="C515" s="37" t="s">
        <v>17</v>
      </c>
      <c r="D515" s="64" t="s">
        <v>3</v>
      </c>
      <c r="E515" s="64" t="s">
        <v>3</v>
      </c>
      <c r="F515" s="65">
        <f>F516</f>
        <v>635300</v>
      </c>
      <c r="G515" s="65"/>
      <c r="I515" s="80"/>
      <c r="L515" s="80"/>
      <c r="M515" s="80"/>
    </row>
    <row r="516" spans="1:13" ht="15.75" outlineLevel="5">
      <c r="A516" s="63" t="s">
        <v>674</v>
      </c>
      <c r="B516" s="37" t="s">
        <v>904</v>
      </c>
      <c r="C516" s="37" t="s">
        <v>17</v>
      </c>
      <c r="D516" s="64" t="s">
        <v>159</v>
      </c>
      <c r="E516" s="64" t="s">
        <v>14</v>
      </c>
      <c r="F516" s="65">
        <f>Приложение_6!F525</f>
        <v>635300</v>
      </c>
      <c r="G516" s="65"/>
      <c r="I516" s="80"/>
      <c r="L516" s="80"/>
      <c r="M516" s="80"/>
    </row>
    <row r="517" spans="1:13" ht="63" outlineLevel="5">
      <c r="A517" s="63" t="s">
        <v>914</v>
      </c>
      <c r="B517" s="37" t="s">
        <v>928</v>
      </c>
      <c r="C517" s="37" t="s">
        <v>1</v>
      </c>
      <c r="D517" s="64" t="s">
        <v>3</v>
      </c>
      <c r="E517" s="64" t="s">
        <v>3</v>
      </c>
      <c r="F517" s="65">
        <f>F518</f>
        <v>1300000</v>
      </c>
      <c r="G517" s="65"/>
      <c r="I517" s="80"/>
      <c r="L517" s="80"/>
      <c r="M517" s="80"/>
    </row>
    <row r="518" spans="1:13" ht="63" outlineLevel="5">
      <c r="A518" s="36" t="s">
        <v>689</v>
      </c>
      <c r="B518" s="37" t="s">
        <v>928</v>
      </c>
      <c r="C518" s="37" t="s">
        <v>17</v>
      </c>
      <c r="D518" s="64" t="s">
        <v>3</v>
      </c>
      <c r="E518" s="64" t="s">
        <v>3</v>
      </c>
      <c r="F518" s="65">
        <f>F519</f>
        <v>1300000</v>
      </c>
      <c r="G518" s="65"/>
      <c r="I518" s="80"/>
      <c r="L518" s="80"/>
      <c r="M518" s="80"/>
    </row>
    <row r="519" spans="1:13" ht="15.75" outlineLevel="5">
      <c r="A519" s="63" t="s">
        <v>674</v>
      </c>
      <c r="B519" s="37" t="s">
        <v>928</v>
      </c>
      <c r="C519" s="37" t="s">
        <v>17</v>
      </c>
      <c r="D519" s="64" t="s">
        <v>159</v>
      </c>
      <c r="E519" s="64" t="s">
        <v>14</v>
      </c>
      <c r="F519" s="65">
        <f>Приложение_6!F527</f>
        <v>1300000</v>
      </c>
      <c r="G519" s="65"/>
      <c r="I519" s="80"/>
      <c r="L519" s="80"/>
      <c r="M519" s="80"/>
    </row>
    <row r="520" spans="1:13" ht="63" outlineLevel="5">
      <c r="A520" s="63" t="s">
        <v>914</v>
      </c>
      <c r="B520" s="37" t="s">
        <v>915</v>
      </c>
      <c r="C520" s="37" t="s">
        <v>1</v>
      </c>
      <c r="D520" s="64" t="s">
        <v>3</v>
      </c>
      <c r="E520" s="64" t="s">
        <v>3</v>
      </c>
      <c r="F520" s="65">
        <f>F521</f>
        <v>9588870</v>
      </c>
      <c r="G520" s="65">
        <f>F520</f>
        <v>9588870</v>
      </c>
      <c r="I520" s="80"/>
      <c r="L520" s="80"/>
      <c r="M520" s="80"/>
    </row>
    <row r="521" spans="1:13" ht="63" outlineLevel="5">
      <c r="A521" s="36" t="s">
        <v>689</v>
      </c>
      <c r="B521" s="37" t="s">
        <v>915</v>
      </c>
      <c r="C521" s="37" t="s">
        <v>17</v>
      </c>
      <c r="D521" s="64" t="s">
        <v>3</v>
      </c>
      <c r="E521" s="64" t="s">
        <v>3</v>
      </c>
      <c r="F521" s="65">
        <f>F522</f>
        <v>9588870</v>
      </c>
      <c r="G521" s="65">
        <f>F521</f>
        <v>9588870</v>
      </c>
      <c r="I521" s="80"/>
      <c r="L521" s="80"/>
      <c r="M521" s="80"/>
    </row>
    <row r="522" spans="1:13" ht="15.75" outlineLevel="5">
      <c r="A522" s="63" t="s">
        <v>674</v>
      </c>
      <c r="B522" s="37" t="s">
        <v>915</v>
      </c>
      <c r="C522" s="37" t="s">
        <v>17</v>
      </c>
      <c r="D522" s="64" t="s">
        <v>159</v>
      </c>
      <c r="E522" s="64" t="s">
        <v>14</v>
      </c>
      <c r="F522" s="65">
        <f>'Приложение_7 '!G535</f>
        <v>9588870</v>
      </c>
      <c r="G522" s="65">
        <f>F522</f>
        <v>9588870</v>
      </c>
      <c r="I522" s="80"/>
      <c r="L522" s="80"/>
      <c r="M522" s="80"/>
    </row>
    <row r="523" spans="1:13" ht="63" outlineLevel="2">
      <c r="A523" s="63" t="s">
        <v>557</v>
      </c>
      <c r="B523" s="64" t="s">
        <v>230</v>
      </c>
      <c r="C523" s="64" t="s">
        <v>1</v>
      </c>
      <c r="D523" s="64" t="s">
        <v>3</v>
      </c>
      <c r="E523" s="64" t="s">
        <v>3</v>
      </c>
      <c r="F523" s="65">
        <f>F524</f>
        <v>3663773.16</v>
      </c>
      <c r="G523" s="65"/>
      <c r="I523" s="80">
        <v>4002811.57</v>
      </c>
      <c r="L523" s="80">
        <f t="shared" si="19"/>
        <v>339038.4099999997</v>
      </c>
      <c r="M523" s="80">
        <f t="shared" si="20"/>
        <v>0</v>
      </c>
    </row>
    <row r="524" spans="1:13" ht="31.5" customHeight="1" outlineLevel="3">
      <c r="A524" s="63" t="s">
        <v>441</v>
      </c>
      <c r="B524" s="64" t="s">
        <v>231</v>
      </c>
      <c r="C524" s="64" t="s">
        <v>1</v>
      </c>
      <c r="D524" s="64" t="s">
        <v>3</v>
      </c>
      <c r="E524" s="64" t="s">
        <v>3</v>
      </c>
      <c r="F524" s="65">
        <f>F525</f>
        <v>3663773.16</v>
      </c>
      <c r="G524" s="65"/>
      <c r="I524" s="80">
        <v>4002811.57</v>
      </c>
      <c r="L524" s="80">
        <f aca="true" t="shared" si="21" ref="L524:L599">I524-F524</f>
        <v>339038.4099999997</v>
      </c>
      <c r="M524" s="80">
        <f aca="true" t="shared" si="22" ref="M524:M599">J524-G524</f>
        <v>0</v>
      </c>
    </row>
    <row r="525" spans="1:13" ht="63" outlineLevel="4">
      <c r="A525" s="63" t="s">
        <v>689</v>
      </c>
      <c r="B525" s="64" t="s">
        <v>231</v>
      </c>
      <c r="C525" s="64" t="s">
        <v>17</v>
      </c>
      <c r="D525" s="64" t="s">
        <v>3</v>
      </c>
      <c r="E525" s="64" t="s">
        <v>3</v>
      </c>
      <c r="F525" s="65">
        <f>F526</f>
        <v>3663773.16</v>
      </c>
      <c r="G525" s="65"/>
      <c r="I525" s="80">
        <v>4002811.57</v>
      </c>
      <c r="L525" s="80">
        <f t="shared" si="21"/>
        <v>339038.4099999997</v>
      </c>
      <c r="M525" s="80">
        <f t="shared" si="22"/>
        <v>0</v>
      </c>
    </row>
    <row r="526" spans="1:13" ht="15.75" outlineLevel="5">
      <c r="A526" s="63" t="s">
        <v>674</v>
      </c>
      <c r="B526" s="64" t="s">
        <v>231</v>
      </c>
      <c r="C526" s="64" t="s">
        <v>17</v>
      </c>
      <c r="D526" s="64" t="s">
        <v>159</v>
      </c>
      <c r="E526" s="64" t="s">
        <v>14</v>
      </c>
      <c r="F526" s="65">
        <f>Приложение_6!F532</f>
        <v>3663773.16</v>
      </c>
      <c r="G526" s="65"/>
      <c r="I526" s="80">
        <v>4002811.57</v>
      </c>
      <c r="L526" s="80">
        <f t="shared" si="21"/>
        <v>339038.4099999997</v>
      </c>
      <c r="M526" s="80">
        <f t="shared" si="22"/>
        <v>0</v>
      </c>
    </row>
    <row r="527" spans="1:13" ht="47.25" outlineLevel="2">
      <c r="A527" s="63" t="s">
        <v>531</v>
      </c>
      <c r="B527" s="64" t="s">
        <v>162</v>
      </c>
      <c r="C527" s="64" t="s">
        <v>1</v>
      </c>
      <c r="D527" s="64" t="s">
        <v>3</v>
      </c>
      <c r="E527" s="64" t="s">
        <v>3</v>
      </c>
      <c r="F527" s="65">
        <f>F528+F531</f>
        <v>3608380</v>
      </c>
      <c r="G527" s="65">
        <f>G528+G531</f>
        <v>3608380</v>
      </c>
      <c r="I527" s="80">
        <v>3608380</v>
      </c>
      <c r="J527" s="80">
        <v>3608380</v>
      </c>
      <c r="L527" s="80">
        <f t="shared" si="21"/>
        <v>0</v>
      </c>
      <c r="M527" s="80">
        <f t="shared" si="22"/>
        <v>0</v>
      </c>
    </row>
    <row r="528" spans="1:13" ht="63" outlineLevel="3">
      <c r="A528" s="63" t="s">
        <v>450</v>
      </c>
      <c r="B528" s="64" t="s">
        <v>163</v>
      </c>
      <c r="C528" s="64" t="s">
        <v>1</v>
      </c>
      <c r="D528" s="64" t="s">
        <v>3</v>
      </c>
      <c r="E528" s="64" t="s">
        <v>3</v>
      </c>
      <c r="F528" s="65">
        <f>F529</f>
        <v>3590760</v>
      </c>
      <c r="G528" s="65">
        <f>G529</f>
        <v>3590760</v>
      </c>
      <c r="I528" s="80">
        <v>3590760</v>
      </c>
      <c r="J528" s="80">
        <v>3590760</v>
      </c>
      <c r="L528" s="80">
        <f t="shared" si="21"/>
        <v>0</v>
      </c>
      <c r="M528" s="80">
        <f t="shared" si="22"/>
        <v>0</v>
      </c>
    </row>
    <row r="529" spans="1:13" ht="63" outlineLevel="4">
      <c r="A529" s="63" t="s">
        <v>689</v>
      </c>
      <c r="B529" s="64" t="s">
        <v>163</v>
      </c>
      <c r="C529" s="64" t="s">
        <v>17</v>
      </c>
      <c r="D529" s="64" t="s">
        <v>3</v>
      </c>
      <c r="E529" s="64" t="s">
        <v>3</v>
      </c>
      <c r="F529" s="65">
        <f>F530</f>
        <v>3590760</v>
      </c>
      <c r="G529" s="65">
        <f>G530</f>
        <v>3590760</v>
      </c>
      <c r="I529" s="80">
        <v>3590760</v>
      </c>
      <c r="J529" s="80">
        <v>3590760</v>
      </c>
      <c r="L529" s="80">
        <f t="shared" si="21"/>
        <v>0</v>
      </c>
      <c r="M529" s="80">
        <f t="shared" si="22"/>
        <v>0</v>
      </c>
    </row>
    <row r="530" spans="1:13" ht="31.5" outlineLevel="5">
      <c r="A530" s="63" t="s">
        <v>667</v>
      </c>
      <c r="B530" s="64" t="s">
        <v>163</v>
      </c>
      <c r="C530" s="64" t="s">
        <v>17</v>
      </c>
      <c r="D530" s="64" t="s">
        <v>22</v>
      </c>
      <c r="E530" s="64" t="s">
        <v>159</v>
      </c>
      <c r="F530" s="65">
        <f>Приложение_6!F348</f>
        <v>3590760</v>
      </c>
      <c r="G530" s="65">
        <f>F530</f>
        <v>3590760</v>
      </c>
      <c r="I530" s="80">
        <v>3590760</v>
      </c>
      <c r="J530" s="80">
        <v>3590760</v>
      </c>
      <c r="L530" s="80">
        <f t="shared" si="21"/>
        <v>0</v>
      </c>
      <c r="M530" s="80">
        <f t="shared" si="22"/>
        <v>0</v>
      </c>
    </row>
    <row r="531" spans="1:13" ht="110.25" outlineLevel="3">
      <c r="A531" s="63" t="s">
        <v>451</v>
      </c>
      <c r="B531" s="64" t="s">
        <v>164</v>
      </c>
      <c r="C531" s="64" t="s">
        <v>1</v>
      </c>
      <c r="D531" s="64" t="s">
        <v>3</v>
      </c>
      <c r="E531" s="64" t="s">
        <v>3</v>
      </c>
      <c r="F531" s="65">
        <f>F532</f>
        <v>17620</v>
      </c>
      <c r="G531" s="65">
        <f>G532</f>
        <v>17620</v>
      </c>
      <c r="I531" s="80">
        <v>17620</v>
      </c>
      <c r="J531" s="80">
        <v>17620</v>
      </c>
      <c r="L531" s="80">
        <f t="shared" si="21"/>
        <v>0</v>
      </c>
      <c r="M531" s="80">
        <f t="shared" si="22"/>
        <v>0</v>
      </c>
    </row>
    <row r="532" spans="1:13" ht="63" outlineLevel="4">
      <c r="A532" s="63" t="s">
        <v>689</v>
      </c>
      <c r="B532" s="64" t="s">
        <v>164</v>
      </c>
      <c r="C532" s="64" t="s">
        <v>17</v>
      </c>
      <c r="D532" s="64" t="s">
        <v>3</v>
      </c>
      <c r="E532" s="64" t="s">
        <v>3</v>
      </c>
      <c r="F532" s="65">
        <f>F533</f>
        <v>17620</v>
      </c>
      <c r="G532" s="65">
        <f>G533</f>
        <v>17620</v>
      </c>
      <c r="I532" s="80">
        <v>17620</v>
      </c>
      <c r="J532" s="80">
        <v>17620</v>
      </c>
      <c r="L532" s="80">
        <f t="shared" si="21"/>
        <v>0</v>
      </c>
      <c r="M532" s="80">
        <f t="shared" si="22"/>
        <v>0</v>
      </c>
    </row>
    <row r="533" spans="1:13" ht="31.5" outlineLevel="5">
      <c r="A533" s="63" t="s">
        <v>667</v>
      </c>
      <c r="B533" s="64" t="s">
        <v>164</v>
      </c>
      <c r="C533" s="64" t="s">
        <v>17</v>
      </c>
      <c r="D533" s="64" t="s">
        <v>22</v>
      </c>
      <c r="E533" s="64" t="s">
        <v>159</v>
      </c>
      <c r="F533" s="65">
        <f>Приложение_6!F350</f>
        <v>17620</v>
      </c>
      <c r="G533" s="65">
        <f>F533</f>
        <v>17620</v>
      </c>
      <c r="I533" s="80">
        <v>17620</v>
      </c>
      <c r="J533" s="80">
        <v>17620</v>
      </c>
      <c r="L533" s="80">
        <f t="shared" si="21"/>
        <v>0</v>
      </c>
      <c r="M533" s="80">
        <f t="shared" si="22"/>
        <v>0</v>
      </c>
    </row>
    <row r="534" spans="1:13" ht="78.75" outlineLevel="2">
      <c r="A534" s="63" t="s">
        <v>558</v>
      </c>
      <c r="B534" s="64" t="s">
        <v>232</v>
      </c>
      <c r="C534" s="64" t="s">
        <v>1</v>
      </c>
      <c r="D534" s="64" t="s">
        <v>3</v>
      </c>
      <c r="E534" s="64" t="s">
        <v>3</v>
      </c>
      <c r="F534" s="65">
        <f>F535</f>
        <v>1561835.59</v>
      </c>
      <c r="G534" s="65"/>
      <c r="I534" s="80">
        <v>1190564</v>
      </c>
      <c r="L534" s="80">
        <f t="shared" si="21"/>
        <v>-371271.5900000001</v>
      </c>
      <c r="M534" s="80">
        <f t="shared" si="22"/>
        <v>0</v>
      </c>
    </row>
    <row r="535" spans="1:13" ht="31.5" customHeight="1" outlineLevel="3">
      <c r="A535" s="63" t="s">
        <v>441</v>
      </c>
      <c r="B535" s="64" t="s">
        <v>233</v>
      </c>
      <c r="C535" s="64" t="s">
        <v>1</v>
      </c>
      <c r="D535" s="64" t="s">
        <v>3</v>
      </c>
      <c r="E535" s="64" t="s">
        <v>3</v>
      </c>
      <c r="F535" s="65">
        <f>F536</f>
        <v>1561835.59</v>
      </c>
      <c r="G535" s="65"/>
      <c r="I535" s="80">
        <v>1190564</v>
      </c>
      <c r="L535" s="80">
        <f t="shared" si="21"/>
        <v>-371271.5900000001</v>
      </c>
      <c r="M535" s="80">
        <f t="shared" si="22"/>
        <v>0</v>
      </c>
    </row>
    <row r="536" spans="1:13" ht="63" outlineLevel="4">
      <c r="A536" s="63" t="s">
        <v>689</v>
      </c>
      <c r="B536" s="64" t="s">
        <v>233</v>
      </c>
      <c r="C536" s="64" t="s">
        <v>17</v>
      </c>
      <c r="D536" s="64" t="s">
        <v>3</v>
      </c>
      <c r="E536" s="64" t="s">
        <v>3</v>
      </c>
      <c r="F536" s="65">
        <f>F537</f>
        <v>1561835.59</v>
      </c>
      <c r="G536" s="65"/>
      <c r="I536" s="80">
        <v>1190564</v>
      </c>
      <c r="L536" s="80">
        <f t="shared" si="21"/>
        <v>-371271.5900000001</v>
      </c>
      <c r="M536" s="80">
        <f t="shared" si="22"/>
        <v>0</v>
      </c>
    </row>
    <row r="537" spans="1:13" ht="15.75" outlineLevel="5">
      <c r="A537" s="63" t="s">
        <v>674</v>
      </c>
      <c r="B537" s="64" t="s">
        <v>233</v>
      </c>
      <c r="C537" s="64" t="s">
        <v>17</v>
      </c>
      <c r="D537" s="64" t="s">
        <v>159</v>
      </c>
      <c r="E537" s="64" t="s">
        <v>14</v>
      </c>
      <c r="F537" s="65">
        <f>Приложение_6!F535</f>
        <v>1561835.59</v>
      </c>
      <c r="G537" s="65"/>
      <c r="I537" s="80">
        <v>1190564</v>
      </c>
      <c r="L537" s="80">
        <f t="shared" si="21"/>
        <v>-371271.5900000001</v>
      </c>
      <c r="M537" s="80">
        <f t="shared" si="22"/>
        <v>0</v>
      </c>
    </row>
    <row r="538" spans="1:13" ht="47.25" outlineLevel="5">
      <c r="A538" s="36" t="s">
        <v>905</v>
      </c>
      <c r="B538" s="37" t="s">
        <v>906</v>
      </c>
      <c r="C538" s="37" t="s">
        <v>1</v>
      </c>
      <c r="D538" s="64" t="s">
        <v>3</v>
      </c>
      <c r="E538" s="64" t="s">
        <v>3</v>
      </c>
      <c r="F538" s="65">
        <f>F539</f>
        <v>721981.83</v>
      </c>
      <c r="G538" s="65"/>
      <c r="I538" s="80"/>
      <c r="L538" s="80"/>
      <c r="M538" s="80"/>
    </row>
    <row r="539" spans="1:13" ht="31.5" outlineLevel="5">
      <c r="A539" s="36" t="s">
        <v>441</v>
      </c>
      <c r="B539" s="37" t="s">
        <v>907</v>
      </c>
      <c r="C539" s="37" t="s">
        <v>1</v>
      </c>
      <c r="D539" s="64" t="s">
        <v>3</v>
      </c>
      <c r="E539" s="64" t="s">
        <v>3</v>
      </c>
      <c r="F539" s="65">
        <f>F540</f>
        <v>721981.83</v>
      </c>
      <c r="G539" s="65"/>
      <c r="I539" s="80"/>
      <c r="L539" s="80"/>
      <c r="M539" s="80"/>
    </row>
    <row r="540" spans="1:13" ht="63" outlineLevel="5">
      <c r="A540" s="36" t="s">
        <v>689</v>
      </c>
      <c r="B540" s="37" t="s">
        <v>907</v>
      </c>
      <c r="C540" s="37" t="s">
        <v>17</v>
      </c>
      <c r="D540" s="64" t="s">
        <v>3</v>
      </c>
      <c r="E540" s="64" t="s">
        <v>3</v>
      </c>
      <c r="F540" s="65">
        <f>F541</f>
        <v>721981.83</v>
      </c>
      <c r="G540" s="65"/>
      <c r="I540" s="80"/>
      <c r="L540" s="80"/>
      <c r="M540" s="80"/>
    </row>
    <row r="541" spans="1:13" ht="15.75" outlineLevel="5">
      <c r="A541" s="63" t="s">
        <v>674</v>
      </c>
      <c r="B541" s="37" t="s">
        <v>907</v>
      </c>
      <c r="C541" s="37" t="s">
        <v>17</v>
      </c>
      <c r="D541" s="64" t="s">
        <v>159</v>
      </c>
      <c r="E541" s="64" t="s">
        <v>14</v>
      </c>
      <c r="F541" s="65">
        <f>Приложение_6!F538</f>
        <v>721981.83</v>
      </c>
      <c r="G541" s="65"/>
      <c r="I541" s="80"/>
      <c r="L541" s="80"/>
      <c r="M541" s="80"/>
    </row>
    <row r="542" spans="1:13" ht="78.75" outlineLevel="1">
      <c r="A542" s="70" t="s">
        <v>635</v>
      </c>
      <c r="B542" s="71" t="s">
        <v>234</v>
      </c>
      <c r="C542" s="71" t="s">
        <v>1</v>
      </c>
      <c r="D542" s="71" t="s">
        <v>3</v>
      </c>
      <c r="E542" s="71" t="s">
        <v>3</v>
      </c>
      <c r="F542" s="72">
        <f>F543</f>
        <v>1435663.78</v>
      </c>
      <c r="G542" s="72"/>
      <c r="I542" s="80">
        <v>1456483.09</v>
      </c>
      <c r="L542" s="80">
        <f t="shared" si="21"/>
        <v>20819.310000000056</v>
      </c>
      <c r="M542" s="80">
        <f t="shared" si="22"/>
        <v>0</v>
      </c>
    </row>
    <row r="543" spans="1:13" ht="63" outlineLevel="2">
      <c r="A543" s="63" t="s">
        <v>559</v>
      </c>
      <c r="B543" s="64" t="s">
        <v>235</v>
      </c>
      <c r="C543" s="64" t="s">
        <v>1</v>
      </c>
      <c r="D543" s="64" t="s">
        <v>3</v>
      </c>
      <c r="E543" s="64" t="s">
        <v>3</v>
      </c>
      <c r="F543" s="65">
        <f>F544+F553</f>
        <v>1435663.78</v>
      </c>
      <c r="G543" s="65"/>
      <c r="I543" s="80">
        <v>1456483.09</v>
      </c>
      <c r="L543" s="80">
        <f t="shared" si="21"/>
        <v>20819.310000000056</v>
      </c>
      <c r="M543" s="80">
        <f t="shared" si="22"/>
        <v>0</v>
      </c>
    </row>
    <row r="544" spans="1:13" ht="126" outlineLevel="3">
      <c r="A544" s="63" t="s">
        <v>443</v>
      </c>
      <c r="B544" s="64" t="s">
        <v>236</v>
      </c>
      <c r="C544" s="64" t="s">
        <v>1</v>
      </c>
      <c r="D544" s="64" t="s">
        <v>3</v>
      </c>
      <c r="E544" s="64" t="s">
        <v>3</v>
      </c>
      <c r="F544" s="65">
        <f>F545+F547+F549+F551</f>
        <v>1435663.78</v>
      </c>
      <c r="G544" s="65"/>
      <c r="I544" s="80">
        <v>1031204.53</v>
      </c>
      <c r="L544" s="80">
        <f t="shared" si="21"/>
        <v>-404459.25</v>
      </c>
      <c r="M544" s="80">
        <f t="shared" si="22"/>
        <v>0</v>
      </c>
    </row>
    <row r="545" spans="1:13" ht="141.75" outlineLevel="4">
      <c r="A545" s="63" t="s">
        <v>856</v>
      </c>
      <c r="B545" s="64" t="s">
        <v>236</v>
      </c>
      <c r="C545" s="64" t="s">
        <v>10</v>
      </c>
      <c r="D545" s="64" t="s">
        <v>3</v>
      </c>
      <c r="E545" s="64" t="s">
        <v>3</v>
      </c>
      <c r="F545" s="65">
        <f>F546</f>
        <v>1353509.81</v>
      </c>
      <c r="G545" s="65"/>
      <c r="I545" s="80">
        <v>1029104.53</v>
      </c>
      <c r="L545" s="80">
        <f t="shared" si="21"/>
        <v>-324405.28</v>
      </c>
      <c r="M545" s="80">
        <f t="shared" si="22"/>
        <v>0</v>
      </c>
    </row>
    <row r="546" spans="1:13" ht="47.25" outlineLevel="5">
      <c r="A546" s="63" t="s">
        <v>675</v>
      </c>
      <c r="B546" s="64" t="s">
        <v>236</v>
      </c>
      <c r="C546" s="64" t="s">
        <v>10</v>
      </c>
      <c r="D546" s="64" t="s">
        <v>159</v>
      </c>
      <c r="E546" s="64" t="s">
        <v>159</v>
      </c>
      <c r="F546" s="65">
        <f>Приложение_6!F544</f>
        <v>1353509.81</v>
      </c>
      <c r="G546" s="65"/>
      <c r="I546" s="80">
        <v>1029104.53</v>
      </c>
      <c r="L546" s="80">
        <f t="shared" si="21"/>
        <v>-324405.28</v>
      </c>
      <c r="M546" s="80">
        <f t="shared" si="22"/>
        <v>0</v>
      </c>
    </row>
    <row r="547" spans="1:13" ht="63" outlineLevel="4">
      <c r="A547" s="63" t="s">
        <v>689</v>
      </c>
      <c r="B547" s="64" t="s">
        <v>236</v>
      </c>
      <c r="C547" s="64" t="s">
        <v>17</v>
      </c>
      <c r="D547" s="64" t="s">
        <v>3</v>
      </c>
      <c r="E547" s="64" t="s">
        <v>3</v>
      </c>
      <c r="F547" s="65">
        <f>F548</f>
        <v>3231.83</v>
      </c>
      <c r="G547" s="65"/>
      <c r="I547" s="80">
        <v>2100</v>
      </c>
      <c r="L547" s="80">
        <f t="shared" si="21"/>
        <v>-1131.83</v>
      </c>
      <c r="M547" s="80">
        <f t="shared" si="22"/>
        <v>0</v>
      </c>
    </row>
    <row r="548" spans="1:13" ht="47.25" outlineLevel="5">
      <c r="A548" s="63" t="s">
        <v>675</v>
      </c>
      <c r="B548" s="64" t="s">
        <v>236</v>
      </c>
      <c r="C548" s="64" t="s">
        <v>17</v>
      </c>
      <c r="D548" s="64" t="s">
        <v>159</v>
      </c>
      <c r="E548" s="64" t="s">
        <v>159</v>
      </c>
      <c r="F548" s="65">
        <f>Приложение_6!F545</f>
        <v>3231.83</v>
      </c>
      <c r="G548" s="65"/>
      <c r="I548" s="80">
        <v>2100</v>
      </c>
      <c r="L548" s="80">
        <f t="shared" si="21"/>
        <v>-1131.83</v>
      </c>
      <c r="M548" s="80">
        <f t="shared" si="22"/>
        <v>0</v>
      </c>
    </row>
    <row r="549" spans="1:13" ht="31.5" outlineLevel="5">
      <c r="A549" s="36" t="s">
        <v>690</v>
      </c>
      <c r="B549" s="64" t="s">
        <v>236</v>
      </c>
      <c r="C549" s="64" t="s">
        <v>47</v>
      </c>
      <c r="D549" s="64" t="s">
        <v>3</v>
      </c>
      <c r="E549" s="64" t="s">
        <v>3</v>
      </c>
      <c r="F549" s="65">
        <f>F550</f>
        <v>78922.14</v>
      </c>
      <c r="G549" s="65"/>
      <c r="I549" s="80"/>
      <c r="L549" s="80"/>
      <c r="M549" s="80"/>
    </row>
    <row r="550" spans="1:13" ht="47.25" outlineLevel="5">
      <c r="A550" s="63" t="s">
        <v>675</v>
      </c>
      <c r="B550" s="64" t="s">
        <v>236</v>
      </c>
      <c r="C550" s="64" t="s">
        <v>47</v>
      </c>
      <c r="D550" s="64" t="s">
        <v>159</v>
      </c>
      <c r="E550" s="64" t="s">
        <v>159</v>
      </c>
      <c r="F550" s="65">
        <f>Приложение_6!F546</f>
        <v>78922.14</v>
      </c>
      <c r="G550" s="65"/>
      <c r="I550" s="80"/>
      <c r="L550" s="80"/>
      <c r="M550" s="80"/>
    </row>
    <row r="551" spans="1:13" ht="31.5" hidden="1" outlineLevel="5">
      <c r="A551" s="36" t="s">
        <v>691</v>
      </c>
      <c r="B551" s="64" t="s">
        <v>236</v>
      </c>
      <c r="C551" s="64" t="s">
        <v>65</v>
      </c>
      <c r="D551" s="64" t="s">
        <v>3</v>
      </c>
      <c r="E551" s="64" t="s">
        <v>3</v>
      </c>
      <c r="F551" s="65">
        <f>F552</f>
        <v>0</v>
      </c>
      <c r="G551" s="65"/>
      <c r="I551" s="80"/>
      <c r="L551" s="80"/>
      <c r="M551" s="80"/>
    </row>
    <row r="552" spans="1:13" ht="47.25" hidden="1" outlineLevel="5">
      <c r="A552" s="63" t="s">
        <v>675</v>
      </c>
      <c r="B552" s="64" t="s">
        <v>236</v>
      </c>
      <c r="C552" s="64" t="s">
        <v>65</v>
      </c>
      <c r="D552" s="64" t="s">
        <v>159</v>
      </c>
      <c r="E552" s="64" t="s">
        <v>159</v>
      </c>
      <c r="F552" s="65">
        <f>Приложение_6!F547</f>
        <v>0</v>
      </c>
      <c r="G552" s="65"/>
      <c r="I552" s="80"/>
      <c r="L552" s="80"/>
      <c r="M552" s="80"/>
    </row>
    <row r="553" spans="1:13" ht="31.5" customHeight="1" hidden="1" outlineLevel="3">
      <c r="A553" s="63" t="s">
        <v>441</v>
      </c>
      <c r="B553" s="64" t="s">
        <v>237</v>
      </c>
      <c r="C553" s="64" t="s">
        <v>1</v>
      </c>
      <c r="D553" s="64" t="s">
        <v>3</v>
      </c>
      <c r="E553" s="64" t="s">
        <v>3</v>
      </c>
      <c r="F553" s="65">
        <f>F554</f>
        <v>0</v>
      </c>
      <c r="G553" s="65"/>
      <c r="I553" s="80">
        <v>425278.56</v>
      </c>
      <c r="L553" s="80">
        <f t="shared" si="21"/>
        <v>425278.56</v>
      </c>
      <c r="M553" s="80">
        <f t="shared" si="22"/>
        <v>0</v>
      </c>
    </row>
    <row r="554" spans="1:13" ht="63" hidden="1" outlineLevel="4">
      <c r="A554" s="63" t="s">
        <v>689</v>
      </c>
      <c r="B554" s="64" t="s">
        <v>237</v>
      </c>
      <c r="C554" s="64" t="s">
        <v>17</v>
      </c>
      <c r="D554" s="64" t="s">
        <v>3</v>
      </c>
      <c r="E554" s="64" t="s">
        <v>3</v>
      </c>
      <c r="F554" s="65">
        <f>F555</f>
        <v>0</v>
      </c>
      <c r="G554" s="65"/>
      <c r="I554" s="80">
        <v>425278.56</v>
      </c>
      <c r="L554" s="80">
        <f t="shared" si="21"/>
        <v>425278.56</v>
      </c>
      <c r="M554" s="80">
        <f t="shared" si="22"/>
        <v>0</v>
      </c>
    </row>
    <row r="555" spans="1:13" ht="47.25" hidden="1" outlineLevel="5">
      <c r="A555" s="63" t="s">
        <v>675</v>
      </c>
      <c r="B555" s="64" t="s">
        <v>237</v>
      </c>
      <c r="C555" s="64" t="s">
        <v>17</v>
      </c>
      <c r="D555" s="64" t="s">
        <v>159</v>
      </c>
      <c r="E555" s="64" t="s">
        <v>159</v>
      </c>
      <c r="F555" s="65">
        <f>Приложение_6!F549</f>
        <v>0</v>
      </c>
      <c r="G555" s="65"/>
      <c r="I555" s="80">
        <v>425278.56</v>
      </c>
      <c r="L555" s="80">
        <f t="shared" si="21"/>
        <v>425278.56</v>
      </c>
      <c r="M555" s="80">
        <f t="shared" si="22"/>
        <v>0</v>
      </c>
    </row>
    <row r="556" spans="1:13" ht="63" outlineLevel="1" collapsed="1">
      <c r="A556" s="70" t="s">
        <v>627</v>
      </c>
      <c r="B556" s="71" t="s">
        <v>166</v>
      </c>
      <c r="C556" s="71" t="s">
        <v>1</v>
      </c>
      <c r="D556" s="71" t="s">
        <v>3</v>
      </c>
      <c r="E556" s="71" t="s">
        <v>3</v>
      </c>
      <c r="F556" s="72">
        <f>F557+F561+F565</f>
        <v>23557941.080000002</v>
      </c>
      <c r="G556" s="72">
        <f>G557+G561+G565</f>
        <v>1038366.8</v>
      </c>
      <c r="I556" s="80">
        <v>27473341.8</v>
      </c>
      <c r="J556" s="76">
        <v>1038366.8</v>
      </c>
      <c r="L556" s="80">
        <f t="shared" si="21"/>
        <v>3915400.719999999</v>
      </c>
      <c r="M556" s="80">
        <f t="shared" si="22"/>
        <v>0</v>
      </c>
    </row>
    <row r="557" spans="1:13" ht="126" outlineLevel="2">
      <c r="A557" s="63" t="s">
        <v>532</v>
      </c>
      <c r="B557" s="64" t="s">
        <v>167</v>
      </c>
      <c r="C557" s="64" t="s">
        <v>1</v>
      </c>
      <c r="D557" s="64" t="s">
        <v>3</v>
      </c>
      <c r="E557" s="64" t="s">
        <v>3</v>
      </c>
      <c r="F557" s="65">
        <f>F558</f>
        <v>18893000</v>
      </c>
      <c r="G557" s="65"/>
      <c r="I557" s="80">
        <v>18893000</v>
      </c>
      <c r="L557" s="80">
        <f t="shared" si="21"/>
        <v>0</v>
      </c>
      <c r="M557" s="80">
        <f t="shared" si="22"/>
        <v>0</v>
      </c>
    </row>
    <row r="558" spans="1:13" ht="78.75" outlineLevel="3">
      <c r="A558" s="63" t="s">
        <v>452</v>
      </c>
      <c r="B558" s="64" t="s">
        <v>168</v>
      </c>
      <c r="C558" s="64" t="s">
        <v>1</v>
      </c>
      <c r="D558" s="64" t="s">
        <v>3</v>
      </c>
      <c r="E558" s="64" t="s">
        <v>3</v>
      </c>
      <c r="F558" s="65">
        <f>F559</f>
        <v>18893000</v>
      </c>
      <c r="G558" s="65"/>
      <c r="I558" s="80">
        <v>18893000</v>
      </c>
      <c r="L558" s="80">
        <f t="shared" si="21"/>
        <v>0</v>
      </c>
      <c r="M558" s="80">
        <f t="shared" si="22"/>
        <v>0</v>
      </c>
    </row>
    <row r="559" spans="1:13" ht="31.5" outlineLevel="4">
      <c r="A559" s="63" t="s">
        <v>691</v>
      </c>
      <c r="B559" s="64" t="s">
        <v>168</v>
      </c>
      <c r="C559" s="64" t="s">
        <v>65</v>
      </c>
      <c r="D559" s="64" t="s">
        <v>3</v>
      </c>
      <c r="E559" s="64" t="s">
        <v>3</v>
      </c>
      <c r="F559" s="65">
        <f>F560</f>
        <v>18893000</v>
      </c>
      <c r="G559" s="65"/>
      <c r="I559" s="80">
        <v>18893000</v>
      </c>
      <c r="L559" s="80">
        <f t="shared" si="21"/>
        <v>0</v>
      </c>
      <c r="M559" s="80">
        <f t="shared" si="22"/>
        <v>0</v>
      </c>
    </row>
    <row r="560" spans="1:13" ht="15.75" outlineLevel="5">
      <c r="A560" s="63" t="s">
        <v>668</v>
      </c>
      <c r="B560" s="64" t="s">
        <v>168</v>
      </c>
      <c r="C560" s="64" t="s">
        <v>65</v>
      </c>
      <c r="D560" s="64" t="s">
        <v>22</v>
      </c>
      <c r="E560" s="64" t="s">
        <v>165</v>
      </c>
      <c r="F560" s="65">
        <f>Приложение_6!F356</f>
        <v>18893000</v>
      </c>
      <c r="G560" s="65"/>
      <c r="I560" s="80">
        <v>18893000</v>
      </c>
      <c r="L560" s="80">
        <f t="shared" si="21"/>
        <v>0</v>
      </c>
      <c r="M560" s="80">
        <f t="shared" si="22"/>
        <v>0</v>
      </c>
    </row>
    <row r="561" spans="1:13" ht="126" outlineLevel="2">
      <c r="A561" s="63" t="s">
        <v>533</v>
      </c>
      <c r="B561" s="64" t="s">
        <v>169</v>
      </c>
      <c r="C561" s="64" t="s">
        <v>1</v>
      </c>
      <c r="D561" s="64" t="s">
        <v>3</v>
      </c>
      <c r="E561" s="64" t="s">
        <v>3</v>
      </c>
      <c r="F561" s="65">
        <f aca="true" t="shared" si="23" ref="F561:G563">F562</f>
        <v>1038366.8</v>
      </c>
      <c r="G561" s="65">
        <f t="shared" si="23"/>
        <v>1038366.8</v>
      </c>
      <c r="I561" s="80">
        <v>1038366.8</v>
      </c>
      <c r="J561" s="80">
        <v>1038366.8</v>
      </c>
      <c r="L561" s="80">
        <f t="shared" si="21"/>
        <v>0</v>
      </c>
      <c r="M561" s="80">
        <f t="shared" si="22"/>
        <v>0</v>
      </c>
    </row>
    <row r="562" spans="1:13" ht="189" outlineLevel="3">
      <c r="A562" s="63" t="s">
        <v>453</v>
      </c>
      <c r="B562" s="64" t="s">
        <v>170</v>
      </c>
      <c r="C562" s="64" t="s">
        <v>1</v>
      </c>
      <c r="D562" s="64" t="s">
        <v>3</v>
      </c>
      <c r="E562" s="64" t="s">
        <v>3</v>
      </c>
      <c r="F562" s="65">
        <f t="shared" si="23"/>
        <v>1038366.8</v>
      </c>
      <c r="G562" s="65">
        <f t="shared" si="23"/>
        <v>1038366.8</v>
      </c>
      <c r="I562" s="80">
        <v>1038366.8</v>
      </c>
      <c r="J562" s="80">
        <v>1038366.8</v>
      </c>
      <c r="L562" s="80">
        <f t="shared" si="21"/>
        <v>0</v>
      </c>
      <c r="M562" s="80">
        <f t="shared" si="22"/>
        <v>0</v>
      </c>
    </row>
    <row r="563" spans="1:13" ht="31.5" outlineLevel="4">
      <c r="A563" s="63" t="s">
        <v>691</v>
      </c>
      <c r="B563" s="64" t="s">
        <v>170</v>
      </c>
      <c r="C563" s="64" t="s">
        <v>65</v>
      </c>
      <c r="D563" s="64" t="s">
        <v>3</v>
      </c>
      <c r="E563" s="64" t="s">
        <v>3</v>
      </c>
      <c r="F563" s="65">
        <f t="shared" si="23"/>
        <v>1038366.8</v>
      </c>
      <c r="G563" s="65">
        <f t="shared" si="23"/>
        <v>1038366.8</v>
      </c>
      <c r="I563" s="80">
        <v>1038366.8</v>
      </c>
      <c r="J563" s="80">
        <v>1038366.8</v>
      </c>
      <c r="L563" s="80">
        <f t="shared" si="21"/>
        <v>0</v>
      </c>
      <c r="M563" s="80">
        <f t="shared" si="22"/>
        <v>0</v>
      </c>
    </row>
    <row r="564" spans="1:13" ht="15.75" outlineLevel="5">
      <c r="A564" s="63" t="s">
        <v>668</v>
      </c>
      <c r="B564" s="64" t="s">
        <v>170</v>
      </c>
      <c r="C564" s="64" t="s">
        <v>65</v>
      </c>
      <c r="D564" s="64" t="s">
        <v>22</v>
      </c>
      <c r="E564" s="64" t="s">
        <v>165</v>
      </c>
      <c r="F564" s="65">
        <f>Приложение_6!F359</f>
        <v>1038366.8</v>
      </c>
      <c r="G564" s="65">
        <f>F564</f>
        <v>1038366.8</v>
      </c>
      <c r="I564" s="80">
        <v>1038366.8</v>
      </c>
      <c r="J564" s="80">
        <v>1038366.8</v>
      </c>
      <c r="L564" s="80">
        <f t="shared" si="21"/>
        <v>0</v>
      </c>
      <c r="M564" s="80">
        <f t="shared" si="22"/>
        <v>0</v>
      </c>
    </row>
    <row r="565" spans="1:13" ht="15.75" outlineLevel="2">
      <c r="A565" s="63" t="s">
        <v>534</v>
      </c>
      <c r="B565" s="64" t="s">
        <v>171</v>
      </c>
      <c r="C565" s="64" t="s">
        <v>1</v>
      </c>
      <c r="D565" s="64" t="s">
        <v>3</v>
      </c>
      <c r="E565" s="64" t="s">
        <v>3</v>
      </c>
      <c r="F565" s="65">
        <f>F566</f>
        <v>3626574.28</v>
      </c>
      <c r="G565" s="65"/>
      <c r="I565" s="80">
        <v>7541975</v>
      </c>
      <c r="L565" s="80">
        <f t="shared" si="21"/>
        <v>3915400.72</v>
      </c>
      <c r="M565" s="80">
        <f t="shared" si="22"/>
        <v>0</v>
      </c>
    </row>
    <row r="566" spans="1:13" ht="31.5" customHeight="1" outlineLevel="3">
      <c r="A566" s="63" t="s">
        <v>441</v>
      </c>
      <c r="B566" s="64" t="s">
        <v>172</v>
      </c>
      <c r="C566" s="64" t="s">
        <v>1</v>
      </c>
      <c r="D566" s="64" t="s">
        <v>3</v>
      </c>
      <c r="E566" s="64" t="s">
        <v>3</v>
      </c>
      <c r="F566" s="65">
        <f>F567+F569</f>
        <v>3626574.28</v>
      </c>
      <c r="G566" s="65"/>
      <c r="I566" s="80">
        <v>7541975</v>
      </c>
      <c r="L566" s="80">
        <f t="shared" si="21"/>
        <v>3915400.72</v>
      </c>
      <c r="M566" s="80">
        <f t="shared" si="22"/>
        <v>0</v>
      </c>
    </row>
    <row r="567" spans="1:13" ht="63" outlineLevel="4">
      <c r="A567" s="63" t="s">
        <v>689</v>
      </c>
      <c r="B567" s="64" t="s">
        <v>172</v>
      </c>
      <c r="C567" s="64" t="s">
        <v>17</v>
      </c>
      <c r="D567" s="64" t="s">
        <v>3</v>
      </c>
      <c r="E567" s="64" t="s">
        <v>3</v>
      </c>
      <c r="F567" s="65">
        <f>F568</f>
        <v>3623574.28</v>
      </c>
      <c r="G567" s="65"/>
      <c r="I567" s="80">
        <v>7531975</v>
      </c>
      <c r="L567" s="80">
        <f t="shared" si="21"/>
        <v>3908400.72</v>
      </c>
      <c r="M567" s="80">
        <f t="shared" si="22"/>
        <v>0</v>
      </c>
    </row>
    <row r="568" spans="1:13" ht="15.75" outlineLevel="5">
      <c r="A568" s="63" t="s">
        <v>668</v>
      </c>
      <c r="B568" s="64" t="s">
        <v>172</v>
      </c>
      <c r="C568" s="64" t="s">
        <v>17</v>
      </c>
      <c r="D568" s="64" t="s">
        <v>22</v>
      </c>
      <c r="E568" s="64" t="s">
        <v>165</v>
      </c>
      <c r="F568" s="65">
        <f>Приложение_6!F362</f>
        <v>3623574.28</v>
      </c>
      <c r="G568" s="65"/>
      <c r="I568" s="80">
        <v>7531975</v>
      </c>
      <c r="L568" s="80">
        <f t="shared" si="21"/>
        <v>3908400.72</v>
      </c>
      <c r="M568" s="80">
        <f t="shared" si="22"/>
        <v>0</v>
      </c>
    </row>
    <row r="569" spans="1:13" ht="31.5" outlineLevel="4">
      <c r="A569" s="63" t="s">
        <v>691</v>
      </c>
      <c r="B569" s="64" t="s">
        <v>172</v>
      </c>
      <c r="C569" s="64" t="s">
        <v>65</v>
      </c>
      <c r="D569" s="64" t="s">
        <v>3</v>
      </c>
      <c r="E569" s="64" t="s">
        <v>3</v>
      </c>
      <c r="F569" s="65">
        <f>F570</f>
        <v>3000</v>
      </c>
      <c r="G569" s="65"/>
      <c r="I569" s="80">
        <v>10000</v>
      </c>
      <c r="L569" s="80">
        <f t="shared" si="21"/>
        <v>7000</v>
      </c>
      <c r="M569" s="80">
        <f t="shared" si="22"/>
        <v>0</v>
      </c>
    </row>
    <row r="570" spans="1:13" ht="15.75" outlineLevel="5">
      <c r="A570" s="63" t="s">
        <v>668</v>
      </c>
      <c r="B570" s="64" t="s">
        <v>172</v>
      </c>
      <c r="C570" s="64" t="s">
        <v>65</v>
      </c>
      <c r="D570" s="64" t="s">
        <v>22</v>
      </c>
      <c r="E570" s="64" t="s">
        <v>165</v>
      </c>
      <c r="F570" s="65">
        <f>Приложение_6!F363</f>
        <v>3000</v>
      </c>
      <c r="G570" s="65"/>
      <c r="I570" s="80">
        <v>10000</v>
      </c>
      <c r="L570" s="80">
        <f t="shared" si="21"/>
        <v>7000</v>
      </c>
      <c r="M570" s="80">
        <f t="shared" si="22"/>
        <v>0</v>
      </c>
    </row>
    <row r="571" spans="1:13" ht="94.5">
      <c r="A571" s="70" t="s">
        <v>860</v>
      </c>
      <c r="B571" s="71" t="s">
        <v>71</v>
      </c>
      <c r="C571" s="71" t="s">
        <v>1</v>
      </c>
      <c r="D571" s="71" t="s">
        <v>3</v>
      </c>
      <c r="E571" s="71" t="s">
        <v>3</v>
      </c>
      <c r="F571" s="72">
        <f>F572+F589+F598+F626</f>
        <v>44937652.61</v>
      </c>
      <c r="G571" s="72"/>
      <c r="I571" s="80">
        <v>49889443.6</v>
      </c>
      <c r="L571" s="80">
        <f t="shared" si="21"/>
        <v>4951790.990000002</v>
      </c>
      <c r="M571" s="80">
        <f t="shared" si="22"/>
        <v>0</v>
      </c>
    </row>
    <row r="572" spans="1:13" ht="94.5" outlineLevel="1">
      <c r="A572" s="70" t="s">
        <v>616</v>
      </c>
      <c r="B572" s="71" t="s">
        <v>72</v>
      </c>
      <c r="C572" s="71" t="s">
        <v>1</v>
      </c>
      <c r="D572" s="71" t="s">
        <v>3</v>
      </c>
      <c r="E572" s="71" t="s">
        <v>3</v>
      </c>
      <c r="F572" s="72">
        <f>F573+F577+F581+F585</f>
        <v>3426847.98</v>
      </c>
      <c r="G572" s="72"/>
      <c r="I572" s="80">
        <v>3303440</v>
      </c>
      <c r="L572" s="80">
        <f t="shared" si="21"/>
        <v>-123407.97999999998</v>
      </c>
      <c r="M572" s="80">
        <f t="shared" si="22"/>
        <v>0</v>
      </c>
    </row>
    <row r="573" spans="1:13" ht="47.25" outlineLevel="2">
      <c r="A573" s="63" t="s">
        <v>500</v>
      </c>
      <c r="B573" s="64" t="s">
        <v>73</v>
      </c>
      <c r="C573" s="64" t="s">
        <v>1</v>
      </c>
      <c r="D573" s="64" t="s">
        <v>3</v>
      </c>
      <c r="E573" s="64" t="s">
        <v>3</v>
      </c>
      <c r="F573" s="65">
        <f>F574</f>
        <v>1899660</v>
      </c>
      <c r="G573" s="65"/>
      <c r="I573" s="80">
        <v>231500</v>
      </c>
      <c r="L573" s="80">
        <f t="shared" si="21"/>
        <v>-1668160</v>
      </c>
      <c r="M573" s="80">
        <f t="shared" si="22"/>
        <v>0</v>
      </c>
    </row>
    <row r="574" spans="1:13" ht="47.25" outlineLevel="3">
      <c r="A574" s="63" t="s">
        <v>440</v>
      </c>
      <c r="B574" s="64" t="s">
        <v>74</v>
      </c>
      <c r="C574" s="64" t="s">
        <v>1</v>
      </c>
      <c r="D574" s="64" t="s">
        <v>3</v>
      </c>
      <c r="E574" s="64" t="s">
        <v>3</v>
      </c>
      <c r="F574" s="65">
        <f>F575</f>
        <v>1899660</v>
      </c>
      <c r="G574" s="65"/>
      <c r="I574" s="80">
        <v>231500</v>
      </c>
      <c r="L574" s="80">
        <f t="shared" si="21"/>
        <v>-1668160</v>
      </c>
      <c r="M574" s="80">
        <f t="shared" si="22"/>
        <v>0</v>
      </c>
    </row>
    <row r="575" spans="1:13" ht="63" outlineLevel="4">
      <c r="A575" s="63" t="s">
        <v>689</v>
      </c>
      <c r="B575" s="64" t="s">
        <v>74</v>
      </c>
      <c r="C575" s="64" t="s">
        <v>17</v>
      </c>
      <c r="D575" s="64" t="s">
        <v>3</v>
      </c>
      <c r="E575" s="64" t="s">
        <v>3</v>
      </c>
      <c r="F575" s="65">
        <f>F576</f>
        <v>1899660</v>
      </c>
      <c r="G575" s="65"/>
      <c r="I575" s="80">
        <v>231500</v>
      </c>
      <c r="L575" s="80">
        <f t="shared" si="21"/>
        <v>-1668160</v>
      </c>
      <c r="M575" s="80">
        <f t="shared" si="22"/>
        <v>0</v>
      </c>
    </row>
    <row r="576" spans="1:13" ht="31.5" outlineLevel="5">
      <c r="A576" s="63" t="s">
        <v>664</v>
      </c>
      <c r="B576" s="64" t="s">
        <v>74</v>
      </c>
      <c r="C576" s="64" t="s">
        <v>17</v>
      </c>
      <c r="D576" s="64" t="s">
        <v>2</v>
      </c>
      <c r="E576" s="64" t="s">
        <v>66</v>
      </c>
      <c r="F576" s="65">
        <f>Приложение_6!F161</f>
        <v>1899660</v>
      </c>
      <c r="G576" s="65"/>
      <c r="I576" s="80">
        <v>231500</v>
      </c>
      <c r="L576" s="80">
        <f t="shared" si="21"/>
        <v>-1668160</v>
      </c>
      <c r="M576" s="80">
        <f t="shared" si="22"/>
        <v>0</v>
      </c>
    </row>
    <row r="577" spans="1:13" ht="47.25" hidden="1" outlineLevel="2">
      <c r="A577" s="63" t="s">
        <v>501</v>
      </c>
      <c r="B577" s="64" t="s">
        <v>75</v>
      </c>
      <c r="C577" s="64" t="s">
        <v>1</v>
      </c>
      <c r="D577" s="64" t="s">
        <v>3</v>
      </c>
      <c r="E577" s="64" t="s">
        <v>3</v>
      </c>
      <c r="F577" s="65">
        <f>F578</f>
        <v>0</v>
      </c>
      <c r="G577" s="65"/>
      <c r="I577" s="80">
        <v>3000000</v>
      </c>
      <c r="L577" s="80">
        <f t="shared" si="21"/>
        <v>3000000</v>
      </c>
      <c r="M577" s="80">
        <f t="shared" si="22"/>
        <v>0</v>
      </c>
    </row>
    <row r="578" spans="1:13" ht="31.5" customHeight="1" hidden="1" outlineLevel="3">
      <c r="A578" s="63" t="s">
        <v>441</v>
      </c>
      <c r="B578" s="64" t="s">
        <v>76</v>
      </c>
      <c r="C578" s="64" t="s">
        <v>1</v>
      </c>
      <c r="D578" s="64" t="s">
        <v>3</v>
      </c>
      <c r="E578" s="64" t="s">
        <v>3</v>
      </c>
      <c r="F578" s="65">
        <f>F579</f>
        <v>0</v>
      </c>
      <c r="G578" s="65"/>
      <c r="I578" s="80">
        <v>3000000</v>
      </c>
      <c r="L578" s="80">
        <f t="shared" si="21"/>
        <v>3000000</v>
      </c>
      <c r="M578" s="80">
        <f t="shared" si="22"/>
        <v>0</v>
      </c>
    </row>
    <row r="579" spans="1:13" ht="63" hidden="1" outlineLevel="4">
      <c r="A579" s="63" t="s">
        <v>689</v>
      </c>
      <c r="B579" s="64" t="s">
        <v>76</v>
      </c>
      <c r="C579" s="64" t="s">
        <v>17</v>
      </c>
      <c r="D579" s="64" t="s">
        <v>3</v>
      </c>
      <c r="E579" s="64" t="s">
        <v>3</v>
      </c>
      <c r="F579" s="65">
        <f>F580</f>
        <v>0</v>
      </c>
      <c r="G579" s="65"/>
      <c r="I579" s="80">
        <v>3000000</v>
      </c>
      <c r="L579" s="80">
        <f t="shared" si="21"/>
        <v>3000000</v>
      </c>
      <c r="M579" s="80">
        <f t="shared" si="22"/>
        <v>0</v>
      </c>
    </row>
    <row r="580" spans="1:13" ht="31.5" hidden="1" outlineLevel="5">
      <c r="A580" s="63" t="s">
        <v>664</v>
      </c>
      <c r="B580" s="64" t="s">
        <v>76</v>
      </c>
      <c r="C580" s="64" t="s">
        <v>17</v>
      </c>
      <c r="D580" s="64" t="s">
        <v>2</v>
      </c>
      <c r="E580" s="64" t="s">
        <v>66</v>
      </c>
      <c r="F580" s="65">
        <f>Приложение_6!F164</f>
        <v>0</v>
      </c>
      <c r="G580" s="65"/>
      <c r="I580" s="80">
        <v>3000000</v>
      </c>
      <c r="L580" s="80">
        <f t="shared" si="21"/>
        <v>3000000</v>
      </c>
      <c r="M580" s="80">
        <f t="shared" si="22"/>
        <v>0</v>
      </c>
    </row>
    <row r="581" spans="1:13" ht="141.75" outlineLevel="2" collapsed="1">
      <c r="A581" s="63" t="s">
        <v>526</v>
      </c>
      <c r="B581" s="64" t="s">
        <v>147</v>
      </c>
      <c r="C581" s="64" t="s">
        <v>1</v>
      </c>
      <c r="D581" s="64" t="s">
        <v>3</v>
      </c>
      <c r="E581" s="64" t="s">
        <v>3</v>
      </c>
      <c r="F581" s="65">
        <f>F582</f>
        <v>71940</v>
      </c>
      <c r="G581" s="65"/>
      <c r="I581" s="80">
        <v>71940</v>
      </c>
      <c r="L581" s="80">
        <f t="shared" si="21"/>
        <v>0</v>
      </c>
      <c r="M581" s="80">
        <f t="shared" si="22"/>
        <v>0</v>
      </c>
    </row>
    <row r="582" spans="1:13" ht="31.5" customHeight="1" outlineLevel="3">
      <c r="A582" s="63" t="s">
        <v>441</v>
      </c>
      <c r="B582" s="64" t="s">
        <v>148</v>
      </c>
      <c r="C582" s="64" t="s">
        <v>1</v>
      </c>
      <c r="D582" s="64" t="s">
        <v>3</v>
      </c>
      <c r="E582" s="64" t="s">
        <v>3</v>
      </c>
      <c r="F582" s="65">
        <f>F583</f>
        <v>71940</v>
      </c>
      <c r="G582" s="65"/>
      <c r="I582" s="80">
        <v>71940</v>
      </c>
      <c r="L582" s="80">
        <f t="shared" si="21"/>
        <v>0</v>
      </c>
      <c r="M582" s="80">
        <f t="shared" si="22"/>
        <v>0</v>
      </c>
    </row>
    <row r="583" spans="1:13" ht="63" outlineLevel="4">
      <c r="A583" s="63" t="s">
        <v>689</v>
      </c>
      <c r="B583" s="64" t="s">
        <v>148</v>
      </c>
      <c r="C583" s="64" t="s">
        <v>17</v>
      </c>
      <c r="D583" s="64" t="s">
        <v>3</v>
      </c>
      <c r="E583" s="64" t="s">
        <v>3</v>
      </c>
      <c r="F583" s="65">
        <f>F584</f>
        <v>71940</v>
      </c>
      <c r="G583" s="65"/>
      <c r="I583" s="80">
        <v>71940</v>
      </c>
      <c r="L583" s="80">
        <f t="shared" si="21"/>
        <v>0</v>
      </c>
      <c r="M583" s="80">
        <f t="shared" si="22"/>
        <v>0</v>
      </c>
    </row>
    <row r="584" spans="1:13" ht="31.5" outlineLevel="5">
      <c r="A584" s="63" t="s">
        <v>664</v>
      </c>
      <c r="B584" s="64" t="s">
        <v>148</v>
      </c>
      <c r="C584" s="64" t="s">
        <v>17</v>
      </c>
      <c r="D584" s="64" t="s">
        <v>2</v>
      </c>
      <c r="E584" s="64" t="s">
        <v>66</v>
      </c>
      <c r="F584" s="65">
        <f>Приложение_6!F167</f>
        <v>71940</v>
      </c>
      <c r="G584" s="65"/>
      <c r="I584" s="80">
        <v>71940</v>
      </c>
      <c r="L584" s="80">
        <f t="shared" si="21"/>
        <v>0</v>
      </c>
      <c r="M584" s="80">
        <f t="shared" si="22"/>
        <v>0</v>
      </c>
    </row>
    <row r="585" spans="1:13" ht="126" outlineLevel="5">
      <c r="A585" s="63" t="s">
        <v>954</v>
      </c>
      <c r="B585" s="64" t="s">
        <v>955</v>
      </c>
      <c r="C585" s="64" t="s">
        <v>1</v>
      </c>
      <c r="D585" s="64" t="s">
        <v>3</v>
      </c>
      <c r="E585" s="64" t="s">
        <v>3</v>
      </c>
      <c r="F585" s="65">
        <f>F586</f>
        <v>1455247.98</v>
      </c>
      <c r="G585" s="65"/>
      <c r="I585" s="80"/>
      <c r="L585" s="80"/>
      <c r="M585" s="80"/>
    </row>
    <row r="586" spans="1:13" ht="31.5" outlineLevel="5">
      <c r="A586" s="63" t="s">
        <v>441</v>
      </c>
      <c r="B586" s="64" t="s">
        <v>956</v>
      </c>
      <c r="C586" s="64" t="s">
        <v>1</v>
      </c>
      <c r="D586" s="64" t="s">
        <v>3</v>
      </c>
      <c r="E586" s="64" t="s">
        <v>3</v>
      </c>
      <c r="F586" s="65">
        <f>F587</f>
        <v>1455247.98</v>
      </c>
      <c r="G586" s="65"/>
      <c r="I586" s="80"/>
      <c r="L586" s="80"/>
      <c r="M586" s="80"/>
    </row>
    <row r="587" spans="1:13" ht="63" outlineLevel="5">
      <c r="A587" s="63" t="s">
        <v>689</v>
      </c>
      <c r="B587" s="64" t="s">
        <v>956</v>
      </c>
      <c r="C587" s="64" t="s">
        <v>17</v>
      </c>
      <c r="D587" s="64" t="s">
        <v>3</v>
      </c>
      <c r="E587" s="64" t="s">
        <v>3</v>
      </c>
      <c r="F587" s="65">
        <f>F588</f>
        <v>1455247.98</v>
      </c>
      <c r="G587" s="65"/>
      <c r="I587" s="80"/>
      <c r="L587" s="80"/>
      <c r="M587" s="80"/>
    </row>
    <row r="588" spans="1:13" ht="31.5" outlineLevel="5">
      <c r="A588" s="63" t="s">
        <v>664</v>
      </c>
      <c r="B588" s="64" t="s">
        <v>956</v>
      </c>
      <c r="C588" s="64" t="s">
        <v>17</v>
      </c>
      <c r="D588" s="64" t="s">
        <v>2</v>
      </c>
      <c r="E588" s="64" t="s">
        <v>66</v>
      </c>
      <c r="F588" s="65">
        <f>Приложение_6!F170</f>
        <v>1455247.98</v>
      </c>
      <c r="G588" s="65"/>
      <c r="I588" s="80"/>
      <c r="L588" s="80"/>
      <c r="M588" s="80"/>
    </row>
    <row r="589" spans="1:13" ht="94.5" outlineLevel="1">
      <c r="A589" s="70" t="s">
        <v>628</v>
      </c>
      <c r="B589" s="71" t="s">
        <v>173</v>
      </c>
      <c r="C589" s="71" t="s">
        <v>1</v>
      </c>
      <c r="D589" s="71" t="s">
        <v>3</v>
      </c>
      <c r="E589" s="71" t="s">
        <v>3</v>
      </c>
      <c r="F589" s="72">
        <f>F590+F594</f>
        <v>10362.94999999984</v>
      </c>
      <c r="G589" s="72"/>
      <c r="I589" s="80">
        <v>5797981</v>
      </c>
      <c r="L589" s="80">
        <f t="shared" si="21"/>
        <v>5787618.05</v>
      </c>
      <c r="M589" s="80">
        <f t="shared" si="22"/>
        <v>0</v>
      </c>
    </row>
    <row r="590" spans="1:13" ht="78.75" outlineLevel="2">
      <c r="A590" s="63" t="s">
        <v>535</v>
      </c>
      <c r="B590" s="64" t="s">
        <v>174</v>
      </c>
      <c r="C590" s="64" t="s">
        <v>1</v>
      </c>
      <c r="D590" s="64" t="s">
        <v>3</v>
      </c>
      <c r="E590" s="64" t="s">
        <v>3</v>
      </c>
      <c r="F590" s="65">
        <f>F591</f>
        <v>10362.94999999984</v>
      </c>
      <c r="G590" s="65"/>
      <c r="I590" s="80">
        <v>4053741</v>
      </c>
      <c r="L590" s="80">
        <f t="shared" si="21"/>
        <v>4043378.0500000003</v>
      </c>
      <c r="M590" s="80">
        <f t="shared" si="22"/>
        <v>0</v>
      </c>
    </row>
    <row r="591" spans="1:13" ht="31.5" customHeight="1" outlineLevel="3">
      <c r="A591" s="63" t="s">
        <v>441</v>
      </c>
      <c r="B591" s="64" t="s">
        <v>175</v>
      </c>
      <c r="C591" s="64" t="s">
        <v>1</v>
      </c>
      <c r="D591" s="64" t="s">
        <v>3</v>
      </c>
      <c r="E591" s="64" t="s">
        <v>3</v>
      </c>
      <c r="F591" s="65">
        <f>F592</f>
        <v>10362.94999999984</v>
      </c>
      <c r="G591" s="65"/>
      <c r="I591" s="80">
        <v>4053741</v>
      </c>
      <c r="L591" s="80">
        <f t="shared" si="21"/>
        <v>4043378.0500000003</v>
      </c>
      <c r="M591" s="80">
        <f t="shared" si="22"/>
        <v>0</v>
      </c>
    </row>
    <row r="592" spans="1:13" ht="63" outlineLevel="4">
      <c r="A592" s="63" t="s">
        <v>689</v>
      </c>
      <c r="B592" s="64" t="s">
        <v>175</v>
      </c>
      <c r="C592" s="64" t="s">
        <v>17</v>
      </c>
      <c r="D592" s="64" t="s">
        <v>3</v>
      </c>
      <c r="E592" s="64" t="s">
        <v>3</v>
      </c>
      <c r="F592" s="65">
        <f>F593</f>
        <v>10362.94999999984</v>
      </c>
      <c r="G592" s="65"/>
      <c r="I592" s="80">
        <v>4053741</v>
      </c>
      <c r="L592" s="80">
        <f t="shared" si="21"/>
        <v>4043378.0500000003</v>
      </c>
      <c r="M592" s="80">
        <f t="shared" si="22"/>
        <v>0</v>
      </c>
    </row>
    <row r="593" spans="1:13" ht="31.5" outlineLevel="5">
      <c r="A593" s="63" t="s">
        <v>669</v>
      </c>
      <c r="B593" s="64" t="s">
        <v>175</v>
      </c>
      <c r="C593" s="64" t="s">
        <v>17</v>
      </c>
      <c r="D593" s="64" t="s">
        <v>22</v>
      </c>
      <c r="E593" s="64" t="s">
        <v>146</v>
      </c>
      <c r="F593" s="65">
        <f>Приложение_6!F369</f>
        <v>10362.94999999984</v>
      </c>
      <c r="G593" s="65"/>
      <c r="I593" s="80">
        <v>4053741</v>
      </c>
      <c r="L593" s="80">
        <f t="shared" si="21"/>
        <v>4043378.0500000003</v>
      </c>
      <c r="M593" s="80">
        <f t="shared" si="22"/>
        <v>0</v>
      </c>
    </row>
    <row r="594" spans="1:13" ht="409.5" hidden="1" outlineLevel="2">
      <c r="A594" s="63" t="s">
        <v>536</v>
      </c>
      <c r="B594" s="64" t="s">
        <v>176</v>
      </c>
      <c r="C594" s="64" t="s">
        <v>1</v>
      </c>
      <c r="D594" s="64" t="s">
        <v>3</v>
      </c>
      <c r="E594" s="64" t="s">
        <v>3</v>
      </c>
      <c r="F594" s="65">
        <f>F595</f>
        <v>0</v>
      </c>
      <c r="G594" s="65"/>
      <c r="I594" s="80">
        <v>1744240</v>
      </c>
      <c r="L594" s="80">
        <f t="shared" si="21"/>
        <v>1744240</v>
      </c>
      <c r="M594" s="80">
        <f t="shared" si="22"/>
        <v>0</v>
      </c>
    </row>
    <row r="595" spans="1:13" ht="31.5" customHeight="1" hidden="1" outlineLevel="3">
      <c r="A595" s="63" t="s">
        <v>441</v>
      </c>
      <c r="B595" s="64" t="s">
        <v>177</v>
      </c>
      <c r="C595" s="64" t="s">
        <v>1</v>
      </c>
      <c r="D595" s="64" t="s">
        <v>3</v>
      </c>
      <c r="E595" s="64" t="s">
        <v>3</v>
      </c>
      <c r="F595" s="65">
        <f>F596</f>
        <v>0</v>
      </c>
      <c r="G595" s="65"/>
      <c r="I595" s="80">
        <v>1744240</v>
      </c>
      <c r="L595" s="80">
        <f t="shared" si="21"/>
        <v>1744240</v>
      </c>
      <c r="M595" s="80">
        <f t="shared" si="22"/>
        <v>0</v>
      </c>
    </row>
    <row r="596" spans="1:13" ht="63" hidden="1" outlineLevel="4">
      <c r="A596" s="63" t="s">
        <v>689</v>
      </c>
      <c r="B596" s="64" t="s">
        <v>177</v>
      </c>
      <c r="C596" s="64" t="s">
        <v>17</v>
      </c>
      <c r="D596" s="64" t="s">
        <v>3</v>
      </c>
      <c r="E596" s="64" t="s">
        <v>3</v>
      </c>
      <c r="F596" s="65">
        <f>F597</f>
        <v>0</v>
      </c>
      <c r="G596" s="65"/>
      <c r="I596" s="80">
        <v>1744240</v>
      </c>
      <c r="L596" s="80">
        <f t="shared" si="21"/>
        <v>1744240</v>
      </c>
      <c r="M596" s="80">
        <f t="shared" si="22"/>
        <v>0</v>
      </c>
    </row>
    <row r="597" spans="1:13" ht="31.5" hidden="1" outlineLevel="5">
      <c r="A597" s="63" t="s">
        <v>669</v>
      </c>
      <c r="B597" s="64" t="s">
        <v>177</v>
      </c>
      <c r="C597" s="64" t="s">
        <v>17</v>
      </c>
      <c r="D597" s="64" t="s">
        <v>22</v>
      </c>
      <c r="E597" s="64" t="s">
        <v>146</v>
      </c>
      <c r="F597" s="65">
        <f>Приложение_6!F372</f>
        <v>0</v>
      </c>
      <c r="G597" s="65"/>
      <c r="I597" s="80">
        <v>1744240</v>
      </c>
      <c r="L597" s="80">
        <f t="shared" si="21"/>
        <v>1744240</v>
      </c>
      <c r="M597" s="80">
        <f t="shared" si="22"/>
        <v>0</v>
      </c>
    </row>
    <row r="598" spans="1:13" ht="94.5" outlineLevel="1" collapsed="1">
      <c r="A598" s="70" t="s">
        <v>625</v>
      </c>
      <c r="B598" s="71" t="s">
        <v>149</v>
      </c>
      <c r="C598" s="71" t="s">
        <v>1</v>
      </c>
      <c r="D598" s="71" t="s">
        <v>3</v>
      </c>
      <c r="E598" s="71" t="s">
        <v>3</v>
      </c>
      <c r="F598" s="72">
        <f>F599+F603+F614+F618+F622</f>
        <v>41213441.68</v>
      </c>
      <c r="G598" s="72"/>
      <c r="I598" s="80">
        <v>40501022.6</v>
      </c>
      <c r="L598" s="80">
        <f t="shared" si="21"/>
        <v>-712419.0799999982</v>
      </c>
      <c r="M598" s="80">
        <f t="shared" si="22"/>
        <v>0</v>
      </c>
    </row>
    <row r="599" spans="1:13" ht="78.75" outlineLevel="2">
      <c r="A599" s="63" t="s">
        <v>527</v>
      </c>
      <c r="B599" s="64" t="s">
        <v>150</v>
      </c>
      <c r="C599" s="64" t="s">
        <v>1</v>
      </c>
      <c r="D599" s="64" t="s">
        <v>3</v>
      </c>
      <c r="E599" s="64" t="s">
        <v>3</v>
      </c>
      <c r="F599" s="65">
        <f>F600</f>
        <v>201386</v>
      </c>
      <c r="G599" s="65"/>
      <c r="I599" s="80">
        <v>190060.8</v>
      </c>
      <c r="L599" s="80">
        <f t="shared" si="21"/>
        <v>-11325.200000000012</v>
      </c>
      <c r="M599" s="80">
        <f t="shared" si="22"/>
        <v>0</v>
      </c>
    </row>
    <row r="600" spans="1:13" ht="31.5" customHeight="1" outlineLevel="3">
      <c r="A600" s="63" t="s">
        <v>441</v>
      </c>
      <c r="B600" s="64" t="s">
        <v>151</v>
      </c>
      <c r="C600" s="64" t="s">
        <v>1</v>
      </c>
      <c r="D600" s="64" t="s">
        <v>3</v>
      </c>
      <c r="E600" s="64" t="s">
        <v>3</v>
      </c>
      <c r="F600" s="65">
        <f>F601</f>
        <v>201386</v>
      </c>
      <c r="G600" s="65"/>
      <c r="I600" s="80">
        <v>190060.8</v>
      </c>
      <c r="L600" s="80">
        <f aca="true" t="shared" si="24" ref="L600:L636">I600-F600</f>
        <v>-11325.200000000012</v>
      </c>
      <c r="M600" s="80">
        <f aca="true" t="shared" si="25" ref="M600:M636">J600-G600</f>
        <v>0</v>
      </c>
    </row>
    <row r="601" spans="1:13" ht="63" outlineLevel="4">
      <c r="A601" s="63" t="s">
        <v>689</v>
      </c>
      <c r="B601" s="64" t="s">
        <v>151</v>
      </c>
      <c r="C601" s="64" t="s">
        <v>17</v>
      </c>
      <c r="D601" s="64" t="s">
        <v>3</v>
      </c>
      <c r="E601" s="64" t="s">
        <v>3</v>
      </c>
      <c r="F601" s="65">
        <f>F602</f>
        <v>201386</v>
      </c>
      <c r="G601" s="65"/>
      <c r="I601" s="80">
        <v>190060.8</v>
      </c>
      <c r="L601" s="80">
        <f t="shared" si="24"/>
        <v>-11325.200000000012</v>
      </c>
      <c r="M601" s="80">
        <f t="shared" si="25"/>
        <v>0</v>
      </c>
    </row>
    <row r="602" spans="1:13" ht="94.5" outlineLevel="5">
      <c r="A602" s="63" t="s">
        <v>666</v>
      </c>
      <c r="B602" s="64" t="s">
        <v>151</v>
      </c>
      <c r="C602" s="64" t="s">
        <v>17</v>
      </c>
      <c r="D602" s="64" t="s">
        <v>14</v>
      </c>
      <c r="E602" s="64" t="s">
        <v>146</v>
      </c>
      <c r="F602" s="65">
        <f>Приложение_6!F320</f>
        <v>201386</v>
      </c>
      <c r="G602" s="65"/>
      <c r="I602" s="80">
        <v>190060.8</v>
      </c>
      <c r="L602" s="80">
        <f t="shared" si="24"/>
        <v>-11325.200000000012</v>
      </c>
      <c r="M602" s="80">
        <f t="shared" si="25"/>
        <v>0</v>
      </c>
    </row>
    <row r="603" spans="1:13" ht="78.75" outlineLevel="2">
      <c r="A603" s="63" t="s">
        <v>528</v>
      </c>
      <c r="B603" s="64" t="s">
        <v>152</v>
      </c>
      <c r="C603" s="64" t="s">
        <v>1</v>
      </c>
      <c r="D603" s="64" t="s">
        <v>3</v>
      </c>
      <c r="E603" s="64" t="s">
        <v>3</v>
      </c>
      <c r="F603" s="65">
        <f>F604+F611</f>
        <v>36206399.13</v>
      </c>
      <c r="G603" s="65"/>
      <c r="I603" s="80">
        <v>36204544.75</v>
      </c>
      <c r="L603" s="80">
        <f t="shared" si="24"/>
        <v>-1854.3800000026822</v>
      </c>
      <c r="M603" s="80">
        <f t="shared" si="25"/>
        <v>0</v>
      </c>
    </row>
    <row r="604" spans="1:13" ht="126" outlineLevel="3">
      <c r="A604" s="63" t="s">
        <v>443</v>
      </c>
      <c r="B604" s="64" t="s">
        <v>153</v>
      </c>
      <c r="C604" s="64" t="s">
        <v>1</v>
      </c>
      <c r="D604" s="64" t="s">
        <v>3</v>
      </c>
      <c r="E604" s="64" t="s">
        <v>3</v>
      </c>
      <c r="F604" s="65">
        <f>F605+F607+F609</f>
        <v>35841124.59</v>
      </c>
      <c r="G604" s="65"/>
      <c r="I604" s="80">
        <v>35616034.75</v>
      </c>
      <c r="L604" s="80">
        <f t="shared" si="24"/>
        <v>-225089.84000000358</v>
      </c>
      <c r="M604" s="80">
        <f t="shared" si="25"/>
        <v>0</v>
      </c>
    </row>
    <row r="605" spans="1:13" ht="141.75" outlineLevel="4">
      <c r="A605" s="63" t="s">
        <v>856</v>
      </c>
      <c r="B605" s="64" t="s">
        <v>153</v>
      </c>
      <c r="C605" s="64" t="s">
        <v>10</v>
      </c>
      <c r="D605" s="64" t="s">
        <v>3</v>
      </c>
      <c r="E605" s="64" t="s">
        <v>3</v>
      </c>
      <c r="F605" s="65">
        <f>F606</f>
        <v>30419837.080000002</v>
      </c>
      <c r="G605" s="65"/>
      <c r="I605" s="80">
        <v>30196601.62</v>
      </c>
      <c r="L605" s="80">
        <f t="shared" si="24"/>
        <v>-223235.4600000009</v>
      </c>
      <c r="M605" s="80">
        <f t="shared" si="25"/>
        <v>0</v>
      </c>
    </row>
    <row r="606" spans="1:13" ht="94.5" outlineLevel="5">
      <c r="A606" s="63" t="s">
        <v>666</v>
      </c>
      <c r="B606" s="64" t="s">
        <v>153</v>
      </c>
      <c r="C606" s="64" t="s">
        <v>10</v>
      </c>
      <c r="D606" s="64" t="s">
        <v>14</v>
      </c>
      <c r="E606" s="64" t="s">
        <v>146</v>
      </c>
      <c r="F606" s="65">
        <f>Приложение_6!F323</f>
        <v>30419837.080000002</v>
      </c>
      <c r="G606" s="65"/>
      <c r="I606" s="80">
        <v>30196601.62</v>
      </c>
      <c r="L606" s="80">
        <f t="shared" si="24"/>
        <v>-223235.4600000009</v>
      </c>
      <c r="M606" s="80">
        <f t="shared" si="25"/>
        <v>0</v>
      </c>
    </row>
    <row r="607" spans="1:13" ht="63" outlineLevel="4">
      <c r="A607" s="63" t="s">
        <v>689</v>
      </c>
      <c r="B607" s="64" t="s">
        <v>153</v>
      </c>
      <c r="C607" s="64" t="s">
        <v>17</v>
      </c>
      <c r="D607" s="64" t="s">
        <v>3</v>
      </c>
      <c r="E607" s="64" t="s">
        <v>3</v>
      </c>
      <c r="F607" s="65">
        <f>F608</f>
        <v>5257042.01</v>
      </c>
      <c r="G607" s="65"/>
      <c r="I607" s="80">
        <v>5255187.63</v>
      </c>
      <c r="L607" s="80">
        <f t="shared" si="24"/>
        <v>-1854.3799999998882</v>
      </c>
      <c r="M607" s="80">
        <f t="shared" si="25"/>
        <v>0</v>
      </c>
    </row>
    <row r="608" spans="1:13" ht="94.5" outlineLevel="5">
      <c r="A608" s="63" t="s">
        <v>666</v>
      </c>
      <c r="B608" s="64" t="s">
        <v>153</v>
      </c>
      <c r="C608" s="64" t="s">
        <v>17</v>
      </c>
      <c r="D608" s="64" t="s">
        <v>14</v>
      </c>
      <c r="E608" s="64" t="s">
        <v>146</v>
      </c>
      <c r="F608" s="65">
        <f>Приложение_6!F324</f>
        <v>5257042.01</v>
      </c>
      <c r="G608" s="65"/>
      <c r="I608" s="80">
        <v>5255187.63</v>
      </c>
      <c r="L608" s="80">
        <f t="shared" si="24"/>
        <v>-1854.3799999998882</v>
      </c>
      <c r="M608" s="80">
        <f t="shared" si="25"/>
        <v>0</v>
      </c>
    </row>
    <row r="609" spans="1:13" ht="31.5" outlineLevel="4">
      <c r="A609" s="63" t="s">
        <v>691</v>
      </c>
      <c r="B609" s="64" t="s">
        <v>153</v>
      </c>
      <c r="C609" s="64" t="s">
        <v>65</v>
      </c>
      <c r="D609" s="64" t="s">
        <v>3</v>
      </c>
      <c r="E609" s="64" t="s">
        <v>3</v>
      </c>
      <c r="F609" s="65">
        <f>F610</f>
        <v>164245.5</v>
      </c>
      <c r="G609" s="65"/>
      <c r="I609" s="80">
        <v>164245.5</v>
      </c>
      <c r="L609" s="80">
        <f t="shared" si="24"/>
        <v>0</v>
      </c>
      <c r="M609" s="80">
        <f t="shared" si="25"/>
        <v>0</v>
      </c>
    </row>
    <row r="610" spans="1:13" ht="94.5" outlineLevel="5">
      <c r="A610" s="63" t="s">
        <v>666</v>
      </c>
      <c r="B610" s="64" t="s">
        <v>153</v>
      </c>
      <c r="C610" s="64" t="s">
        <v>65</v>
      </c>
      <c r="D610" s="64" t="s">
        <v>14</v>
      </c>
      <c r="E610" s="64" t="s">
        <v>146</v>
      </c>
      <c r="F610" s="65">
        <f>Приложение_6!F325</f>
        <v>164245.5</v>
      </c>
      <c r="G610" s="65"/>
      <c r="I610" s="80">
        <v>164245.5</v>
      </c>
      <c r="L610" s="80">
        <f t="shared" si="24"/>
        <v>0</v>
      </c>
      <c r="M610" s="80">
        <f t="shared" si="25"/>
        <v>0</v>
      </c>
    </row>
    <row r="611" spans="1:13" ht="126" outlineLevel="3">
      <c r="A611" s="63" t="s">
        <v>432</v>
      </c>
      <c r="B611" s="64" t="s">
        <v>154</v>
      </c>
      <c r="C611" s="64" t="s">
        <v>1</v>
      </c>
      <c r="D611" s="64" t="s">
        <v>3</v>
      </c>
      <c r="E611" s="64" t="s">
        <v>3</v>
      </c>
      <c r="F611" s="65">
        <f>F612</f>
        <v>365274.54000000004</v>
      </c>
      <c r="G611" s="65"/>
      <c r="I611" s="80">
        <v>588510</v>
      </c>
      <c r="L611" s="80">
        <f t="shared" si="24"/>
        <v>223235.45999999996</v>
      </c>
      <c r="M611" s="80">
        <f t="shared" si="25"/>
        <v>0</v>
      </c>
    </row>
    <row r="612" spans="1:13" ht="141.75" outlineLevel="4">
      <c r="A612" s="63" t="s">
        <v>856</v>
      </c>
      <c r="B612" s="64" t="s">
        <v>154</v>
      </c>
      <c r="C612" s="64" t="s">
        <v>10</v>
      </c>
      <c r="D612" s="64" t="s">
        <v>3</v>
      </c>
      <c r="E612" s="64" t="s">
        <v>3</v>
      </c>
      <c r="F612" s="65">
        <f>F613</f>
        <v>365274.54000000004</v>
      </c>
      <c r="G612" s="65"/>
      <c r="I612" s="80">
        <v>588510</v>
      </c>
      <c r="L612" s="80">
        <f t="shared" si="24"/>
        <v>223235.45999999996</v>
      </c>
      <c r="M612" s="80">
        <f t="shared" si="25"/>
        <v>0</v>
      </c>
    </row>
    <row r="613" spans="1:13" ht="94.5" outlineLevel="5">
      <c r="A613" s="63" t="s">
        <v>666</v>
      </c>
      <c r="B613" s="64" t="s">
        <v>154</v>
      </c>
      <c r="C613" s="64" t="s">
        <v>10</v>
      </c>
      <c r="D613" s="64" t="s">
        <v>14</v>
      </c>
      <c r="E613" s="64" t="s">
        <v>146</v>
      </c>
      <c r="F613" s="65">
        <f>Приложение_6!F327</f>
        <v>365274.54000000004</v>
      </c>
      <c r="G613" s="65"/>
      <c r="I613" s="80">
        <v>588510</v>
      </c>
      <c r="L613" s="80">
        <f t="shared" si="24"/>
        <v>223235.45999999996</v>
      </c>
      <c r="M613" s="80">
        <f t="shared" si="25"/>
        <v>0</v>
      </c>
    </row>
    <row r="614" spans="1:13" ht="31.5" outlineLevel="2">
      <c r="A614" s="63" t="s">
        <v>529</v>
      </c>
      <c r="B614" s="64" t="s">
        <v>155</v>
      </c>
      <c r="C614" s="64" t="s">
        <v>1</v>
      </c>
      <c r="D614" s="64" t="s">
        <v>3</v>
      </c>
      <c r="E614" s="64" t="s">
        <v>3</v>
      </c>
      <c r="F614" s="65">
        <f>F615</f>
        <v>1075656.55</v>
      </c>
      <c r="G614" s="65"/>
      <c r="I614" s="80">
        <v>1106417.05</v>
      </c>
      <c r="L614" s="80">
        <f t="shared" si="24"/>
        <v>30760.5</v>
      </c>
      <c r="M614" s="80">
        <f t="shared" si="25"/>
        <v>0</v>
      </c>
    </row>
    <row r="615" spans="1:13" ht="31.5" customHeight="1" outlineLevel="3">
      <c r="A615" s="63" t="s">
        <v>441</v>
      </c>
      <c r="B615" s="64" t="s">
        <v>156</v>
      </c>
      <c r="C615" s="64" t="s">
        <v>1</v>
      </c>
      <c r="D615" s="64" t="s">
        <v>3</v>
      </c>
      <c r="E615" s="64" t="s">
        <v>3</v>
      </c>
      <c r="F615" s="65">
        <f>F616</f>
        <v>1075656.55</v>
      </c>
      <c r="G615" s="65"/>
      <c r="I615" s="80">
        <v>1106417.05</v>
      </c>
      <c r="L615" s="80">
        <f t="shared" si="24"/>
        <v>30760.5</v>
      </c>
      <c r="M615" s="80">
        <f t="shared" si="25"/>
        <v>0</v>
      </c>
    </row>
    <row r="616" spans="1:13" ht="63" outlineLevel="4">
      <c r="A616" s="63" t="s">
        <v>689</v>
      </c>
      <c r="B616" s="64" t="s">
        <v>156</v>
      </c>
      <c r="C616" s="64" t="s">
        <v>17</v>
      </c>
      <c r="D616" s="64" t="s">
        <v>3</v>
      </c>
      <c r="E616" s="64" t="s">
        <v>3</v>
      </c>
      <c r="F616" s="65">
        <f>F617</f>
        <v>1075656.55</v>
      </c>
      <c r="G616" s="65"/>
      <c r="I616" s="80">
        <v>1106417.05</v>
      </c>
      <c r="L616" s="80">
        <f t="shared" si="24"/>
        <v>30760.5</v>
      </c>
      <c r="M616" s="80">
        <f t="shared" si="25"/>
        <v>0</v>
      </c>
    </row>
    <row r="617" spans="1:13" ht="94.5" outlineLevel="5">
      <c r="A617" s="63" t="s">
        <v>666</v>
      </c>
      <c r="B617" s="64" t="s">
        <v>156</v>
      </c>
      <c r="C617" s="64" t="s">
        <v>17</v>
      </c>
      <c r="D617" s="64" t="s">
        <v>14</v>
      </c>
      <c r="E617" s="64" t="s">
        <v>146</v>
      </c>
      <c r="F617" s="65">
        <f>Приложение_6!F330</f>
        <v>1075656.55</v>
      </c>
      <c r="G617" s="65"/>
      <c r="I617" s="80">
        <v>1106417.05</v>
      </c>
      <c r="L617" s="80">
        <f t="shared" si="24"/>
        <v>30760.5</v>
      </c>
      <c r="M617" s="80">
        <f t="shared" si="25"/>
        <v>0</v>
      </c>
    </row>
    <row r="618" spans="1:13" ht="110.25" outlineLevel="2">
      <c r="A618" s="63" t="s">
        <v>530</v>
      </c>
      <c r="B618" s="64" t="s">
        <v>157</v>
      </c>
      <c r="C618" s="64" t="s">
        <v>1</v>
      </c>
      <c r="D618" s="64" t="s">
        <v>3</v>
      </c>
      <c r="E618" s="64" t="s">
        <v>3</v>
      </c>
      <c r="F618" s="65">
        <f>F619</f>
        <v>3000000</v>
      </c>
      <c r="G618" s="65"/>
      <c r="I618" s="80">
        <v>3000000</v>
      </c>
      <c r="L618" s="80">
        <f t="shared" si="24"/>
        <v>0</v>
      </c>
      <c r="M618" s="80">
        <f t="shared" si="25"/>
        <v>0</v>
      </c>
    </row>
    <row r="619" spans="1:13" ht="31.5" customHeight="1" outlineLevel="3">
      <c r="A619" s="63" t="s">
        <v>441</v>
      </c>
      <c r="B619" s="64" t="s">
        <v>158</v>
      </c>
      <c r="C619" s="64" t="s">
        <v>1</v>
      </c>
      <c r="D619" s="64" t="s">
        <v>3</v>
      </c>
      <c r="E619" s="64" t="s">
        <v>3</v>
      </c>
      <c r="F619" s="65">
        <f>F620</f>
        <v>3000000</v>
      </c>
      <c r="G619" s="65"/>
      <c r="I619" s="80">
        <v>3000000</v>
      </c>
      <c r="L619" s="80">
        <f t="shared" si="24"/>
        <v>0</v>
      </c>
      <c r="M619" s="80">
        <f t="shared" si="25"/>
        <v>0</v>
      </c>
    </row>
    <row r="620" spans="1:13" ht="63" outlineLevel="4">
      <c r="A620" s="63" t="s">
        <v>689</v>
      </c>
      <c r="B620" s="64" t="s">
        <v>158</v>
      </c>
      <c r="C620" s="64" t="s">
        <v>17</v>
      </c>
      <c r="D620" s="64" t="s">
        <v>3</v>
      </c>
      <c r="E620" s="64" t="s">
        <v>3</v>
      </c>
      <c r="F620" s="65">
        <f>F621</f>
        <v>3000000</v>
      </c>
      <c r="G620" s="65"/>
      <c r="I620" s="80">
        <v>3000000</v>
      </c>
      <c r="L620" s="80">
        <f t="shared" si="24"/>
        <v>0</v>
      </c>
      <c r="M620" s="80">
        <f t="shared" si="25"/>
        <v>0</v>
      </c>
    </row>
    <row r="621" spans="1:13" ht="94.5" outlineLevel="5">
      <c r="A621" s="63" t="s">
        <v>666</v>
      </c>
      <c r="B621" s="64" t="s">
        <v>158</v>
      </c>
      <c r="C621" s="64" t="s">
        <v>17</v>
      </c>
      <c r="D621" s="64" t="s">
        <v>14</v>
      </c>
      <c r="E621" s="64" t="s">
        <v>146</v>
      </c>
      <c r="F621" s="65">
        <f>Приложение_6!F333</f>
        <v>3000000</v>
      </c>
      <c r="G621" s="65"/>
      <c r="I621" s="80">
        <v>3000000</v>
      </c>
      <c r="L621" s="80">
        <f t="shared" si="24"/>
        <v>0</v>
      </c>
      <c r="M621" s="80">
        <f t="shared" si="25"/>
        <v>0</v>
      </c>
    </row>
    <row r="622" spans="1:13" ht="63" outlineLevel="5">
      <c r="A622" s="36" t="s">
        <v>911</v>
      </c>
      <c r="B622" s="64" t="s">
        <v>912</v>
      </c>
      <c r="C622" s="64" t="s">
        <v>1</v>
      </c>
      <c r="D622" s="64" t="s">
        <v>3</v>
      </c>
      <c r="E622" s="64" t="s">
        <v>3</v>
      </c>
      <c r="F622" s="65">
        <f>F623</f>
        <v>730000</v>
      </c>
      <c r="G622" s="65"/>
      <c r="I622" s="80"/>
      <c r="L622" s="80"/>
      <c r="M622" s="80"/>
    </row>
    <row r="623" spans="1:13" ht="31.5" outlineLevel="5">
      <c r="A623" s="63" t="s">
        <v>441</v>
      </c>
      <c r="B623" s="64" t="s">
        <v>913</v>
      </c>
      <c r="C623" s="64" t="s">
        <v>1</v>
      </c>
      <c r="D623" s="64" t="s">
        <v>3</v>
      </c>
      <c r="E623" s="64" t="s">
        <v>3</v>
      </c>
      <c r="F623" s="65">
        <f>F624</f>
        <v>730000</v>
      </c>
      <c r="G623" s="65"/>
      <c r="I623" s="80"/>
      <c r="L623" s="80"/>
      <c r="M623" s="80"/>
    </row>
    <row r="624" spans="1:13" ht="63" outlineLevel="5">
      <c r="A624" s="63" t="s">
        <v>689</v>
      </c>
      <c r="B624" s="64" t="s">
        <v>913</v>
      </c>
      <c r="C624" s="64" t="s">
        <v>17</v>
      </c>
      <c r="D624" s="64" t="s">
        <v>3</v>
      </c>
      <c r="E624" s="64" t="s">
        <v>3</v>
      </c>
      <c r="F624" s="65">
        <f>F625</f>
        <v>730000</v>
      </c>
      <c r="G624" s="65"/>
      <c r="I624" s="80"/>
      <c r="L624" s="80"/>
      <c r="M624" s="80"/>
    </row>
    <row r="625" spans="1:13" ht="94.5" outlineLevel="5">
      <c r="A625" s="63" t="s">
        <v>666</v>
      </c>
      <c r="B625" s="64" t="s">
        <v>913</v>
      </c>
      <c r="C625" s="64" t="s">
        <v>17</v>
      </c>
      <c r="D625" s="64" t="s">
        <v>14</v>
      </c>
      <c r="E625" s="64" t="s">
        <v>146</v>
      </c>
      <c r="F625" s="65">
        <f>Приложение_6!F336</f>
        <v>730000</v>
      </c>
      <c r="G625" s="65"/>
      <c r="I625" s="80"/>
      <c r="L625" s="80"/>
      <c r="M625" s="80"/>
    </row>
    <row r="626" spans="1:13" ht="63" outlineLevel="1">
      <c r="A626" s="70" t="s">
        <v>617</v>
      </c>
      <c r="B626" s="71" t="s">
        <v>77</v>
      </c>
      <c r="C626" s="71" t="s">
        <v>1</v>
      </c>
      <c r="D626" s="71" t="s">
        <v>3</v>
      </c>
      <c r="E626" s="71" t="s">
        <v>3</v>
      </c>
      <c r="F626" s="72">
        <f>F627</f>
        <v>287000</v>
      </c>
      <c r="G626" s="72"/>
      <c r="I626" s="80">
        <v>287000</v>
      </c>
      <c r="L626" s="80">
        <f t="shared" si="24"/>
        <v>0</v>
      </c>
      <c r="M626" s="80">
        <f t="shared" si="25"/>
        <v>0</v>
      </c>
    </row>
    <row r="627" spans="1:13" ht="94.5" outlineLevel="2">
      <c r="A627" s="63" t="s">
        <v>502</v>
      </c>
      <c r="B627" s="64" t="s">
        <v>78</v>
      </c>
      <c r="C627" s="64" t="s">
        <v>1</v>
      </c>
      <c r="D627" s="64" t="s">
        <v>3</v>
      </c>
      <c r="E627" s="64" t="s">
        <v>3</v>
      </c>
      <c r="F627" s="65">
        <f>F628</f>
        <v>287000</v>
      </c>
      <c r="G627" s="65"/>
      <c r="I627" s="80">
        <v>287000</v>
      </c>
      <c r="L627" s="80">
        <f t="shared" si="24"/>
        <v>0</v>
      </c>
      <c r="M627" s="80">
        <f t="shared" si="25"/>
        <v>0</v>
      </c>
    </row>
    <row r="628" spans="1:13" ht="31.5" customHeight="1" outlineLevel="3">
      <c r="A628" s="63" t="s">
        <v>441</v>
      </c>
      <c r="B628" s="64" t="s">
        <v>79</v>
      </c>
      <c r="C628" s="64" t="s">
        <v>1</v>
      </c>
      <c r="D628" s="64" t="s">
        <v>3</v>
      </c>
      <c r="E628" s="64" t="s">
        <v>3</v>
      </c>
      <c r="F628" s="65">
        <f>F629</f>
        <v>287000</v>
      </c>
      <c r="G628" s="65"/>
      <c r="I628" s="80">
        <v>287000</v>
      </c>
      <c r="L628" s="80">
        <f t="shared" si="24"/>
        <v>0</v>
      </c>
      <c r="M628" s="80">
        <f t="shared" si="25"/>
        <v>0</v>
      </c>
    </row>
    <row r="629" spans="1:13" ht="63" outlineLevel="4">
      <c r="A629" s="63" t="s">
        <v>689</v>
      </c>
      <c r="B629" s="64" t="s">
        <v>79</v>
      </c>
      <c r="C629" s="64" t="s">
        <v>17</v>
      </c>
      <c r="D629" s="64" t="s">
        <v>3</v>
      </c>
      <c r="E629" s="64" t="s">
        <v>3</v>
      </c>
      <c r="F629" s="65">
        <f>F630</f>
        <v>287000</v>
      </c>
      <c r="G629" s="65"/>
      <c r="I629" s="80">
        <v>287000</v>
      </c>
      <c r="L629" s="80">
        <f t="shared" si="24"/>
        <v>0</v>
      </c>
      <c r="M629" s="80">
        <f t="shared" si="25"/>
        <v>0</v>
      </c>
    </row>
    <row r="630" spans="1:13" ht="31.5" outlineLevel="5">
      <c r="A630" s="63" t="s">
        <v>664</v>
      </c>
      <c r="B630" s="64" t="s">
        <v>79</v>
      </c>
      <c r="C630" s="64" t="s">
        <v>17</v>
      </c>
      <c r="D630" s="64" t="s">
        <v>2</v>
      </c>
      <c r="E630" s="64" t="s">
        <v>66</v>
      </c>
      <c r="F630" s="65">
        <f>Приложение_6!F174</f>
        <v>287000</v>
      </c>
      <c r="G630" s="65"/>
      <c r="I630" s="80">
        <v>287000</v>
      </c>
      <c r="L630" s="80">
        <f t="shared" si="24"/>
        <v>0</v>
      </c>
      <c r="M630" s="80">
        <f t="shared" si="25"/>
        <v>0</v>
      </c>
    </row>
    <row r="631" spans="1:13" ht="63" outlineLevel="5">
      <c r="A631" s="70" t="s">
        <v>936</v>
      </c>
      <c r="B631" s="33" t="s">
        <v>937</v>
      </c>
      <c r="C631" s="71" t="s">
        <v>1</v>
      </c>
      <c r="D631" s="71" t="s">
        <v>3</v>
      </c>
      <c r="E631" s="71" t="s">
        <v>3</v>
      </c>
      <c r="F631" s="72">
        <f>F632</f>
        <v>199885.74</v>
      </c>
      <c r="G631" s="72"/>
      <c r="I631" s="80"/>
      <c r="L631" s="80"/>
      <c r="M631" s="80"/>
    </row>
    <row r="632" spans="1:13" ht="78.75" outlineLevel="5">
      <c r="A632" s="36" t="s">
        <v>935</v>
      </c>
      <c r="B632" s="37" t="s">
        <v>938</v>
      </c>
      <c r="C632" s="37" t="s">
        <v>1</v>
      </c>
      <c r="D632" s="64" t="s">
        <v>3</v>
      </c>
      <c r="E632" s="64" t="s">
        <v>3</v>
      </c>
      <c r="F632" s="65">
        <f>F633</f>
        <v>199885.74</v>
      </c>
      <c r="G632" s="65"/>
      <c r="I632" s="80"/>
      <c r="L632" s="80"/>
      <c r="M632" s="80"/>
    </row>
    <row r="633" spans="1:13" ht="31.5" outlineLevel="5">
      <c r="A633" s="36" t="s">
        <v>441</v>
      </c>
      <c r="B633" s="37" t="s">
        <v>939</v>
      </c>
      <c r="C633" s="37" t="s">
        <v>1</v>
      </c>
      <c r="D633" s="64" t="s">
        <v>3</v>
      </c>
      <c r="E633" s="64" t="s">
        <v>3</v>
      </c>
      <c r="F633" s="65">
        <f>F634</f>
        <v>199885.74</v>
      </c>
      <c r="G633" s="65"/>
      <c r="I633" s="80"/>
      <c r="L633" s="80"/>
      <c r="M633" s="80"/>
    </row>
    <row r="634" spans="1:13" ht="63" outlineLevel="5">
      <c r="A634" s="36" t="s">
        <v>689</v>
      </c>
      <c r="B634" s="37" t="s">
        <v>939</v>
      </c>
      <c r="C634" s="37" t="s">
        <v>17</v>
      </c>
      <c r="D634" s="64" t="s">
        <v>3</v>
      </c>
      <c r="E634" s="64" t="s">
        <v>3</v>
      </c>
      <c r="F634" s="65">
        <f>F635</f>
        <v>199885.74</v>
      </c>
      <c r="G634" s="65"/>
      <c r="I634" s="80"/>
      <c r="L634" s="80"/>
      <c r="M634" s="80"/>
    </row>
    <row r="635" spans="1:13" ht="47.25" outlineLevel="5">
      <c r="A635" s="63" t="s">
        <v>934</v>
      </c>
      <c r="B635" s="37" t="s">
        <v>939</v>
      </c>
      <c r="C635" s="37" t="s">
        <v>17</v>
      </c>
      <c r="D635" s="64" t="s">
        <v>60</v>
      </c>
      <c r="E635" s="64" t="s">
        <v>14</v>
      </c>
      <c r="F635" s="65">
        <f>Приложение_6!F563</f>
        <v>199885.74</v>
      </c>
      <c r="G635" s="65"/>
      <c r="I635" s="80"/>
      <c r="L635" s="80"/>
      <c r="M635" s="80"/>
    </row>
    <row r="636" spans="1:13" ht="78.75">
      <c r="A636" s="70" t="s">
        <v>871</v>
      </c>
      <c r="B636" s="71" t="s">
        <v>178</v>
      </c>
      <c r="C636" s="71" t="s">
        <v>1</v>
      </c>
      <c r="D636" s="71" t="s">
        <v>3</v>
      </c>
      <c r="E636" s="71" t="s">
        <v>3</v>
      </c>
      <c r="F636" s="72">
        <f>F637+F651+F661+F647</f>
        <v>126029731.71000001</v>
      </c>
      <c r="G636" s="72">
        <f>G637+G651+G661+G647</f>
        <v>20366038.32</v>
      </c>
      <c r="I636" s="80">
        <v>106630493.27</v>
      </c>
      <c r="L636" s="80">
        <f t="shared" si="24"/>
        <v>-19399238.440000013</v>
      </c>
      <c r="M636" s="80">
        <f t="shared" si="25"/>
        <v>-20366038.32</v>
      </c>
    </row>
    <row r="637" spans="1:13" ht="63" outlineLevel="2">
      <c r="A637" s="63" t="s">
        <v>537</v>
      </c>
      <c r="B637" s="64" t="s">
        <v>179</v>
      </c>
      <c r="C637" s="64" t="s">
        <v>1</v>
      </c>
      <c r="D637" s="64" t="s">
        <v>3</v>
      </c>
      <c r="E637" s="64" t="s">
        <v>3</v>
      </c>
      <c r="F637" s="65">
        <f>F638+F641+F644</f>
        <v>30366038.32</v>
      </c>
      <c r="G637" s="65">
        <f>G638+G641+G644</f>
        <v>20366038.32</v>
      </c>
      <c r="I637" s="80">
        <v>10000000</v>
      </c>
      <c r="L637" s="80">
        <f aca="true" t="shared" si="26" ref="L637:M639">I637-F638</f>
        <v>10000000</v>
      </c>
      <c r="M637" s="80">
        <f t="shared" si="26"/>
        <v>0</v>
      </c>
    </row>
    <row r="638" spans="1:13" ht="47.25" hidden="1" outlineLevel="3">
      <c r="A638" s="63" t="s">
        <v>454</v>
      </c>
      <c r="B638" s="64" t="s">
        <v>180</v>
      </c>
      <c r="C638" s="64" t="s">
        <v>1</v>
      </c>
      <c r="D638" s="64" t="s">
        <v>3</v>
      </c>
      <c r="E638" s="64" t="s">
        <v>3</v>
      </c>
      <c r="F638" s="65">
        <f>F639</f>
        <v>0</v>
      </c>
      <c r="G638" s="65"/>
      <c r="I638" s="80">
        <v>10000000</v>
      </c>
      <c r="L638" s="80">
        <f t="shared" si="26"/>
        <v>10000000</v>
      </c>
      <c r="M638" s="80">
        <f t="shared" si="26"/>
        <v>0</v>
      </c>
    </row>
    <row r="639" spans="1:13" ht="63" hidden="1" outlineLevel="4">
      <c r="A639" s="63" t="s">
        <v>689</v>
      </c>
      <c r="B639" s="64" t="s">
        <v>180</v>
      </c>
      <c r="C639" s="64" t="s">
        <v>17</v>
      </c>
      <c r="D639" s="64" t="s">
        <v>3</v>
      </c>
      <c r="E639" s="64" t="s">
        <v>3</v>
      </c>
      <c r="F639" s="65">
        <f>F640</f>
        <v>0</v>
      </c>
      <c r="G639" s="65"/>
      <c r="I639" s="80">
        <v>10000000</v>
      </c>
      <c r="L639" s="80">
        <f t="shared" si="26"/>
        <v>10000000</v>
      </c>
      <c r="M639" s="80">
        <f t="shared" si="26"/>
        <v>0</v>
      </c>
    </row>
    <row r="640" spans="1:13" ht="31.5" hidden="1" outlineLevel="5">
      <c r="A640" s="63" t="s">
        <v>669</v>
      </c>
      <c r="B640" s="64" t="s">
        <v>180</v>
      </c>
      <c r="C640" s="64" t="s">
        <v>17</v>
      </c>
      <c r="D640" s="64" t="s">
        <v>22</v>
      </c>
      <c r="E640" s="64" t="s">
        <v>146</v>
      </c>
      <c r="F640" s="65">
        <f>Приложение_6!F376</f>
        <v>0</v>
      </c>
      <c r="G640" s="65"/>
      <c r="I640" s="80">
        <v>10000000</v>
      </c>
      <c r="L640" s="80">
        <f>I640-F640</f>
        <v>10000000</v>
      </c>
      <c r="M640" s="80">
        <f>J640-G640</f>
        <v>0</v>
      </c>
    </row>
    <row r="641" spans="1:13" ht="110.25" outlineLevel="5">
      <c r="A641" s="63" t="s">
        <v>916</v>
      </c>
      <c r="B641" s="37" t="s">
        <v>917</v>
      </c>
      <c r="C641" s="64" t="s">
        <v>1</v>
      </c>
      <c r="D641" s="64" t="s">
        <v>3</v>
      </c>
      <c r="E641" s="64" t="s">
        <v>3</v>
      </c>
      <c r="F641" s="65">
        <f>F642</f>
        <v>20366038.32</v>
      </c>
      <c r="G641" s="65">
        <f>F641</f>
        <v>20366038.32</v>
      </c>
      <c r="I641" s="80"/>
      <c r="L641" s="80"/>
      <c r="M641" s="80"/>
    </row>
    <row r="642" spans="1:13" ht="63" outlineLevel="5">
      <c r="A642" s="63" t="s">
        <v>689</v>
      </c>
      <c r="B642" s="37" t="s">
        <v>917</v>
      </c>
      <c r="C642" s="64" t="s">
        <v>17</v>
      </c>
      <c r="D642" s="64" t="s">
        <v>3</v>
      </c>
      <c r="E642" s="64" t="s">
        <v>3</v>
      </c>
      <c r="F642" s="65">
        <f>F643</f>
        <v>20366038.32</v>
      </c>
      <c r="G642" s="65">
        <f>F642</f>
        <v>20366038.32</v>
      </c>
      <c r="I642" s="80"/>
      <c r="L642" s="80"/>
      <c r="M642" s="80"/>
    </row>
    <row r="643" spans="1:13" ht="31.5" outlineLevel="5">
      <c r="A643" s="63" t="s">
        <v>669</v>
      </c>
      <c r="B643" s="37" t="s">
        <v>917</v>
      </c>
      <c r="C643" s="64" t="s">
        <v>17</v>
      </c>
      <c r="D643" s="64" t="s">
        <v>22</v>
      </c>
      <c r="E643" s="64" t="s">
        <v>146</v>
      </c>
      <c r="F643" s="65">
        <f>Приложение_6!F378</f>
        <v>20366038.32</v>
      </c>
      <c r="G643" s="65">
        <f>F643</f>
        <v>20366038.32</v>
      </c>
      <c r="I643" s="80"/>
      <c r="L643" s="80"/>
      <c r="M643" s="80"/>
    </row>
    <row r="644" spans="1:13" ht="110.25" outlineLevel="5">
      <c r="A644" s="63" t="s">
        <v>916</v>
      </c>
      <c r="B644" s="37" t="s">
        <v>918</v>
      </c>
      <c r="C644" s="64" t="s">
        <v>1</v>
      </c>
      <c r="D644" s="64" t="s">
        <v>3</v>
      </c>
      <c r="E644" s="64" t="s">
        <v>3</v>
      </c>
      <c r="F644" s="65">
        <f>F645</f>
        <v>10000000</v>
      </c>
      <c r="G644" s="65"/>
      <c r="I644" s="80"/>
      <c r="L644" s="80"/>
      <c r="M644" s="80"/>
    </row>
    <row r="645" spans="1:13" ht="63" outlineLevel="5">
      <c r="A645" s="63" t="s">
        <v>689</v>
      </c>
      <c r="B645" s="37" t="s">
        <v>918</v>
      </c>
      <c r="C645" s="64" t="s">
        <v>17</v>
      </c>
      <c r="D645" s="64" t="s">
        <v>3</v>
      </c>
      <c r="E645" s="64" t="s">
        <v>3</v>
      </c>
      <c r="F645" s="65">
        <f>F646</f>
        <v>10000000</v>
      </c>
      <c r="G645" s="65"/>
      <c r="I645" s="80"/>
      <c r="L645" s="80"/>
      <c r="M645" s="80"/>
    </row>
    <row r="646" spans="1:13" ht="31.5" outlineLevel="5">
      <c r="A646" s="63" t="s">
        <v>669</v>
      </c>
      <c r="B646" s="37" t="s">
        <v>918</v>
      </c>
      <c r="C646" s="64" t="s">
        <v>17</v>
      </c>
      <c r="D646" s="64" t="s">
        <v>22</v>
      </c>
      <c r="E646" s="64" t="s">
        <v>146</v>
      </c>
      <c r="F646" s="65">
        <f>Приложение_6!F380</f>
        <v>10000000</v>
      </c>
      <c r="G646" s="65"/>
      <c r="I646" s="80"/>
      <c r="L646" s="80"/>
      <c r="M646" s="80"/>
    </row>
    <row r="647" spans="1:13" ht="94.5" outlineLevel="5">
      <c r="A647" s="36" t="s">
        <v>879</v>
      </c>
      <c r="B647" s="37" t="s">
        <v>880</v>
      </c>
      <c r="C647" s="37" t="s">
        <v>1</v>
      </c>
      <c r="D647" s="64" t="s">
        <v>3</v>
      </c>
      <c r="E647" s="64" t="s">
        <v>3</v>
      </c>
      <c r="F647" s="65">
        <f>F648</f>
        <v>340000</v>
      </c>
      <c r="G647" s="65"/>
      <c r="I647" s="80"/>
      <c r="L647" s="80"/>
      <c r="M647" s="80"/>
    </row>
    <row r="648" spans="1:13" ht="31.5" outlineLevel="5">
      <c r="A648" s="36" t="s">
        <v>441</v>
      </c>
      <c r="B648" s="37" t="s">
        <v>881</v>
      </c>
      <c r="C648" s="37" t="s">
        <v>1</v>
      </c>
      <c r="D648" s="64" t="s">
        <v>3</v>
      </c>
      <c r="E648" s="64" t="s">
        <v>3</v>
      </c>
      <c r="F648" s="65">
        <f>F649</f>
        <v>340000</v>
      </c>
      <c r="G648" s="65"/>
      <c r="I648" s="80"/>
      <c r="L648" s="80"/>
      <c r="M648" s="80"/>
    </row>
    <row r="649" spans="1:13" ht="63" outlineLevel="5">
      <c r="A649" s="36" t="s">
        <v>689</v>
      </c>
      <c r="B649" s="37" t="s">
        <v>881</v>
      </c>
      <c r="C649" s="37" t="s">
        <v>17</v>
      </c>
      <c r="D649" s="64" t="s">
        <v>3</v>
      </c>
      <c r="E649" s="64" t="s">
        <v>3</v>
      </c>
      <c r="F649" s="65">
        <f>F650</f>
        <v>340000</v>
      </c>
      <c r="G649" s="65"/>
      <c r="I649" s="80"/>
      <c r="L649" s="80"/>
      <c r="M649" s="80"/>
    </row>
    <row r="650" spans="1:13" ht="31.5" outlineLevel="5">
      <c r="A650" s="63" t="s">
        <v>669</v>
      </c>
      <c r="B650" s="37" t="s">
        <v>881</v>
      </c>
      <c r="C650" s="37" t="s">
        <v>17</v>
      </c>
      <c r="D650" s="64" t="s">
        <v>22</v>
      </c>
      <c r="E650" s="64" t="s">
        <v>146</v>
      </c>
      <c r="F650" s="65">
        <f>Приложение_6!F383</f>
        <v>340000</v>
      </c>
      <c r="G650" s="65"/>
      <c r="I650" s="80"/>
      <c r="L650" s="80"/>
      <c r="M650" s="80"/>
    </row>
    <row r="651" spans="1:13" ht="94.5" outlineLevel="2">
      <c r="A651" s="63" t="s">
        <v>538</v>
      </c>
      <c r="B651" s="64" t="s">
        <v>181</v>
      </c>
      <c r="C651" s="64" t="s">
        <v>1</v>
      </c>
      <c r="D651" s="64" t="s">
        <v>3</v>
      </c>
      <c r="E651" s="64" t="s">
        <v>3</v>
      </c>
      <c r="F651" s="65">
        <f>F652+F655+F658</f>
        <v>95029693.39</v>
      </c>
      <c r="G651" s="65"/>
      <c r="I651" s="80">
        <v>96330493.27</v>
      </c>
      <c r="L651" s="80">
        <f aca="true" t="shared" si="27" ref="L651:L656">I651-F651</f>
        <v>1300799.8799999952</v>
      </c>
      <c r="M651" s="80">
        <f aca="true" t="shared" si="28" ref="M651:M656">J651-G651</f>
        <v>0</v>
      </c>
    </row>
    <row r="652" spans="1:13" ht="78.75" outlineLevel="3">
      <c r="A652" s="63" t="s">
        <v>455</v>
      </c>
      <c r="B652" s="64" t="s">
        <v>182</v>
      </c>
      <c r="C652" s="64" t="s">
        <v>1</v>
      </c>
      <c r="D652" s="64" t="s">
        <v>3</v>
      </c>
      <c r="E652" s="64" t="s">
        <v>3</v>
      </c>
      <c r="F652" s="65">
        <f>F653</f>
        <v>92834953.2</v>
      </c>
      <c r="G652" s="65"/>
      <c r="I652" s="80">
        <v>92834953.2</v>
      </c>
      <c r="L652" s="80">
        <f t="shared" si="27"/>
        <v>0</v>
      </c>
      <c r="M652" s="80">
        <f t="shared" si="28"/>
        <v>0</v>
      </c>
    </row>
    <row r="653" spans="1:13" ht="63" outlineLevel="4">
      <c r="A653" s="63" t="s">
        <v>689</v>
      </c>
      <c r="B653" s="64" t="s">
        <v>182</v>
      </c>
      <c r="C653" s="64" t="s">
        <v>17</v>
      </c>
      <c r="D653" s="64" t="s">
        <v>3</v>
      </c>
      <c r="E653" s="64" t="s">
        <v>3</v>
      </c>
      <c r="F653" s="65">
        <f>F654</f>
        <v>92834953.2</v>
      </c>
      <c r="G653" s="65"/>
      <c r="I653" s="80">
        <v>92834953.2</v>
      </c>
      <c r="L653" s="80">
        <f t="shared" si="27"/>
        <v>0</v>
      </c>
      <c r="M653" s="80">
        <f t="shared" si="28"/>
        <v>0</v>
      </c>
    </row>
    <row r="654" spans="1:13" ht="31.5" outlineLevel="5">
      <c r="A654" s="63" t="s">
        <v>669</v>
      </c>
      <c r="B654" s="64" t="s">
        <v>182</v>
      </c>
      <c r="C654" s="64" t="s">
        <v>17</v>
      </c>
      <c r="D654" s="64" t="s">
        <v>22</v>
      </c>
      <c r="E654" s="64" t="s">
        <v>146</v>
      </c>
      <c r="F654" s="65">
        <f>Приложение_6!F386</f>
        <v>92834953.2</v>
      </c>
      <c r="G654" s="65"/>
      <c r="I654" s="80">
        <v>92834953.2</v>
      </c>
      <c r="L654" s="80">
        <f t="shared" si="27"/>
        <v>0</v>
      </c>
      <c r="M654" s="80">
        <f t="shared" si="28"/>
        <v>0</v>
      </c>
    </row>
    <row r="655" spans="1:13" ht="63" outlineLevel="3">
      <c r="A655" s="63" t="s">
        <v>456</v>
      </c>
      <c r="B655" s="64" t="s">
        <v>183</v>
      </c>
      <c r="C655" s="64" t="s">
        <v>1</v>
      </c>
      <c r="D655" s="64" t="s">
        <v>3</v>
      </c>
      <c r="E655" s="64" t="s">
        <v>3</v>
      </c>
      <c r="F655" s="65">
        <f>F656</f>
        <v>360636.09</v>
      </c>
      <c r="G655" s="65"/>
      <c r="I655" s="80">
        <v>360636.09</v>
      </c>
      <c r="L655" s="80">
        <f t="shared" si="27"/>
        <v>0</v>
      </c>
      <c r="M655" s="80">
        <f t="shared" si="28"/>
        <v>0</v>
      </c>
    </row>
    <row r="656" spans="1:13" ht="63" outlineLevel="4">
      <c r="A656" s="63" t="s">
        <v>689</v>
      </c>
      <c r="B656" s="64" t="s">
        <v>183</v>
      </c>
      <c r="C656" s="64" t="s">
        <v>17</v>
      </c>
      <c r="D656" s="64" t="s">
        <v>3</v>
      </c>
      <c r="E656" s="64" t="s">
        <v>3</v>
      </c>
      <c r="F656" s="65">
        <f>F657</f>
        <v>360636.09</v>
      </c>
      <c r="G656" s="65"/>
      <c r="I656" s="80">
        <v>360636.09</v>
      </c>
      <c r="L656" s="80">
        <f t="shared" si="27"/>
        <v>0</v>
      </c>
      <c r="M656" s="80">
        <f t="shared" si="28"/>
        <v>0</v>
      </c>
    </row>
    <row r="657" spans="1:13" ht="31.5" outlineLevel="5">
      <c r="A657" s="63" t="s">
        <v>669</v>
      </c>
      <c r="B657" s="64" t="s">
        <v>183</v>
      </c>
      <c r="C657" s="64" t="s">
        <v>17</v>
      </c>
      <c r="D657" s="64" t="s">
        <v>22</v>
      </c>
      <c r="E657" s="64" t="s">
        <v>146</v>
      </c>
      <c r="F657" s="65">
        <f>Приложение_6!F388</f>
        <v>360636.09</v>
      </c>
      <c r="G657" s="65"/>
      <c r="I657" s="80">
        <v>360636.09</v>
      </c>
      <c r="L657" s="80">
        <f aca="true" t="shared" si="29" ref="L657:M664">I657-F657</f>
        <v>0</v>
      </c>
      <c r="M657" s="80">
        <f t="shared" si="29"/>
        <v>0</v>
      </c>
    </row>
    <row r="658" spans="1:13" ht="31.5" customHeight="1" outlineLevel="3">
      <c r="A658" s="63" t="s">
        <v>441</v>
      </c>
      <c r="B658" s="64" t="s">
        <v>184</v>
      </c>
      <c r="C658" s="64" t="s">
        <v>1</v>
      </c>
      <c r="D658" s="64" t="s">
        <v>3</v>
      </c>
      <c r="E658" s="64" t="s">
        <v>3</v>
      </c>
      <c r="F658" s="65">
        <f>F659</f>
        <v>1834104.0999999999</v>
      </c>
      <c r="G658" s="65"/>
      <c r="I658" s="80">
        <v>3134903.98</v>
      </c>
      <c r="L658" s="80">
        <f t="shared" si="29"/>
        <v>1300799.8800000001</v>
      </c>
      <c r="M658" s="80">
        <f t="shared" si="29"/>
        <v>0</v>
      </c>
    </row>
    <row r="659" spans="1:13" ht="63" outlineLevel="4">
      <c r="A659" s="63" t="s">
        <v>689</v>
      </c>
      <c r="B659" s="64" t="s">
        <v>184</v>
      </c>
      <c r="C659" s="64" t="s">
        <v>17</v>
      </c>
      <c r="D659" s="64" t="s">
        <v>3</v>
      </c>
      <c r="E659" s="64" t="s">
        <v>3</v>
      </c>
      <c r="F659" s="65">
        <f>F660</f>
        <v>1834104.0999999999</v>
      </c>
      <c r="G659" s="65"/>
      <c r="I659" s="80">
        <v>3134903.98</v>
      </c>
      <c r="L659" s="80">
        <f t="shared" si="29"/>
        <v>1300799.8800000001</v>
      </c>
      <c r="M659" s="80">
        <f t="shared" si="29"/>
        <v>0</v>
      </c>
    </row>
    <row r="660" spans="1:13" ht="31.5" outlineLevel="5">
      <c r="A660" s="63" t="s">
        <v>669</v>
      </c>
      <c r="B660" s="64" t="s">
        <v>184</v>
      </c>
      <c r="C660" s="64" t="s">
        <v>17</v>
      </c>
      <c r="D660" s="64" t="s">
        <v>22</v>
      </c>
      <c r="E660" s="64" t="s">
        <v>146</v>
      </c>
      <c r="F660" s="65">
        <f>Приложение_6!F390</f>
        <v>1834104.0999999999</v>
      </c>
      <c r="G660" s="65"/>
      <c r="I660" s="80">
        <v>3134903.98</v>
      </c>
      <c r="L660" s="80">
        <f t="shared" si="29"/>
        <v>1300799.8800000001</v>
      </c>
      <c r="M660" s="80">
        <f t="shared" si="29"/>
        <v>0</v>
      </c>
    </row>
    <row r="661" spans="1:13" ht="94.5" outlineLevel="2">
      <c r="A661" s="63" t="s">
        <v>539</v>
      </c>
      <c r="B661" s="64" t="s">
        <v>185</v>
      </c>
      <c r="C661" s="64" t="s">
        <v>1</v>
      </c>
      <c r="D661" s="64" t="s">
        <v>3</v>
      </c>
      <c r="E661" s="64" t="s">
        <v>3</v>
      </c>
      <c r="F661" s="65">
        <f>F662</f>
        <v>294000</v>
      </c>
      <c r="G661" s="65"/>
      <c r="I661" s="80">
        <v>300000</v>
      </c>
      <c r="L661" s="80">
        <f t="shared" si="29"/>
        <v>6000</v>
      </c>
      <c r="M661" s="80">
        <f t="shared" si="29"/>
        <v>0</v>
      </c>
    </row>
    <row r="662" spans="1:13" ht="31.5" customHeight="1" outlineLevel="3">
      <c r="A662" s="63" t="s">
        <v>441</v>
      </c>
      <c r="B662" s="64" t="s">
        <v>186</v>
      </c>
      <c r="C662" s="64" t="s">
        <v>1</v>
      </c>
      <c r="D662" s="64" t="s">
        <v>3</v>
      </c>
      <c r="E662" s="64" t="s">
        <v>3</v>
      </c>
      <c r="F662" s="65">
        <f>F663</f>
        <v>294000</v>
      </c>
      <c r="G662" s="65"/>
      <c r="I662" s="80">
        <v>300000</v>
      </c>
      <c r="L662" s="80">
        <f t="shared" si="29"/>
        <v>6000</v>
      </c>
      <c r="M662" s="80">
        <f t="shared" si="29"/>
        <v>0</v>
      </c>
    </row>
    <row r="663" spans="1:13" ht="63" outlineLevel="4">
      <c r="A663" s="63" t="s">
        <v>689</v>
      </c>
      <c r="B663" s="64" t="s">
        <v>186</v>
      </c>
      <c r="C663" s="64" t="s">
        <v>17</v>
      </c>
      <c r="D663" s="64" t="s">
        <v>3</v>
      </c>
      <c r="E663" s="64" t="s">
        <v>3</v>
      </c>
      <c r="F663" s="65">
        <f>F664</f>
        <v>294000</v>
      </c>
      <c r="G663" s="65"/>
      <c r="I663" s="80">
        <v>300000</v>
      </c>
      <c r="L663" s="80">
        <f t="shared" si="29"/>
        <v>6000</v>
      </c>
      <c r="M663" s="80">
        <f t="shared" si="29"/>
        <v>0</v>
      </c>
    </row>
    <row r="664" spans="1:13" ht="31.5" outlineLevel="5">
      <c r="A664" s="63" t="s">
        <v>669</v>
      </c>
      <c r="B664" s="64" t="s">
        <v>186</v>
      </c>
      <c r="C664" s="64" t="s">
        <v>17</v>
      </c>
      <c r="D664" s="64" t="s">
        <v>22</v>
      </c>
      <c r="E664" s="64" t="s">
        <v>146</v>
      </c>
      <c r="F664" s="65">
        <f>Приложение_6!F393</f>
        <v>294000</v>
      </c>
      <c r="G664" s="65"/>
      <c r="I664" s="80">
        <v>300000</v>
      </c>
      <c r="L664" s="80">
        <f t="shared" si="29"/>
        <v>6000</v>
      </c>
      <c r="M664" s="80">
        <f t="shared" si="29"/>
        <v>0</v>
      </c>
    </row>
    <row r="665" spans="1:13" ht="94.5">
      <c r="A665" s="70" t="s">
        <v>870</v>
      </c>
      <c r="B665" s="71" t="s">
        <v>80</v>
      </c>
      <c r="C665" s="71" t="s">
        <v>1</v>
      </c>
      <c r="D665" s="71" t="s">
        <v>3</v>
      </c>
      <c r="E665" s="71" t="s">
        <v>3</v>
      </c>
      <c r="F665" s="72">
        <f>F666+F670+F674+F678</f>
        <v>3893480</v>
      </c>
      <c r="G665" s="72"/>
      <c r="I665" s="80">
        <v>886480</v>
      </c>
      <c r="L665" s="80">
        <f>I665-F665</f>
        <v>-3007000</v>
      </c>
      <c r="M665" s="80">
        <f aca="true" t="shared" si="30" ref="M665:M682">J665-G665</f>
        <v>0</v>
      </c>
    </row>
    <row r="666" spans="1:13" ht="204.75" outlineLevel="2">
      <c r="A666" s="63" t="s">
        <v>503</v>
      </c>
      <c r="B666" s="64" t="s">
        <v>81</v>
      </c>
      <c r="C666" s="64" t="s">
        <v>1</v>
      </c>
      <c r="D666" s="64" t="s">
        <v>3</v>
      </c>
      <c r="E666" s="64" t="s">
        <v>3</v>
      </c>
      <c r="F666" s="65">
        <f>F667</f>
        <v>385000</v>
      </c>
      <c r="G666" s="65"/>
      <c r="I666" s="80">
        <v>200000</v>
      </c>
      <c r="L666" s="80"/>
      <c r="M666" s="80"/>
    </row>
    <row r="667" spans="1:13" ht="31.5" customHeight="1" outlineLevel="3">
      <c r="A667" s="63" t="s">
        <v>441</v>
      </c>
      <c r="B667" s="64" t="s">
        <v>82</v>
      </c>
      <c r="C667" s="64" t="s">
        <v>1</v>
      </c>
      <c r="D667" s="64" t="s">
        <v>3</v>
      </c>
      <c r="E667" s="64" t="s">
        <v>3</v>
      </c>
      <c r="F667" s="65">
        <f>F668</f>
        <v>385000</v>
      </c>
      <c r="G667" s="65"/>
      <c r="I667" s="80">
        <v>200000</v>
      </c>
      <c r="L667" s="80">
        <f aca="true" t="shared" si="31" ref="L667:L682">I667-F667</f>
        <v>-185000</v>
      </c>
      <c r="M667" s="80">
        <f t="shared" si="30"/>
        <v>0</v>
      </c>
    </row>
    <row r="668" spans="1:13" ht="63" outlineLevel="4">
      <c r="A668" s="63" t="s">
        <v>689</v>
      </c>
      <c r="B668" s="64" t="s">
        <v>82</v>
      </c>
      <c r="C668" s="64" t="s">
        <v>17</v>
      </c>
      <c r="D668" s="64" t="s">
        <v>3</v>
      </c>
      <c r="E668" s="64" t="s">
        <v>3</v>
      </c>
      <c r="F668" s="65">
        <f>F669</f>
        <v>385000</v>
      </c>
      <c r="G668" s="65"/>
      <c r="I668" s="80">
        <v>200000</v>
      </c>
      <c r="L668" s="80">
        <f t="shared" si="31"/>
        <v>-185000</v>
      </c>
      <c r="M668" s="80">
        <f t="shared" si="30"/>
        <v>0</v>
      </c>
    </row>
    <row r="669" spans="1:13" ht="31.5" outlineLevel="5">
      <c r="A669" s="63" t="s">
        <v>664</v>
      </c>
      <c r="B669" s="64" t="s">
        <v>82</v>
      </c>
      <c r="C669" s="64" t="s">
        <v>17</v>
      </c>
      <c r="D669" s="64" t="s">
        <v>2</v>
      </c>
      <c r="E669" s="64" t="s">
        <v>66</v>
      </c>
      <c r="F669" s="65">
        <f>Приложение_6!F178</f>
        <v>385000</v>
      </c>
      <c r="G669" s="65"/>
      <c r="I669" s="80">
        <v>200000</v>
      </c>
      <c r="L669" s="80">
        <f t="shared" si="31"/>
        <v>-185000</v>
      </c>
      <c r="M669" s="80">
        <f t="shared" si="30"/>
        <v>0</v>
      </c>
    </row>
    <row r="670" spans="1:13" ht="63" outlineLevel="2">
      <c r="A670" s="36" t="s">
        <v>922</v>
      </c>
      <c r="B670" s="64" t="s">
        <v>923</v>
      </c>
      <c r="C670" s="64" t="s">
        <v>1</v>
      </c>
      <c r="D670" s="64" t="s">
        <v>3</v>
      </c>
      <c r="E670" s="64" t="s">
        <v>3</v>
      </c>
      <c r="F670" s="65">
        <f>F671</f>
        <v>2400000</v>
      </c>
      <c r="G670" s="65"/>
      <c r="I670" s="80">
        <v>686480</v>
      </c>
      <c r="L670" s="80">
        <f t="shared" si="31"/>
        <v>-1713520</v>
      </c>
      <c r="M670" s="80">
        <f t="shared" si="30"/>
        <v>0</v>
      </c>
    </row>
    <row r="671" spans="1:13" ht="31.5" customHeight="1" outlineLevel="3">
      <c r="A671" s="63" t="s">
        <v>441</v>
      </c>
      <c r="B671" s="64" t="s">
        <v>924</v>
      </c>
      <c r="C671" s="64" t="s">
        <v>1</v>
      </c>
      <c r="D671" s="64" t="s">
        <v>3</v>
      </c>
      <c r="E671" s="64" t="s">
        <v>3</v>
      </c>
      <c r="F671" s="65">
        <f>F672</f>
        <v>2400000</v>
      </c>
      <c r="G671" s="65"/>
      <c r="I671" s="80">
        <v>686480</v>
      </c>
      <c r="L671" s="80">
        <f t="shared" si="31"/>
        <v>-1713520</v>
      </c>
      <c r="M671" s="80">
        <f t="shared" si="30"/>
        <v>0</v>
      </c>
    </row>
    <row r="672" spans="1:13" ht="63" outlineLevel="4">
      <c r="A672" s="63" t="s">
        <v>689</v>
      </c>
      <c r="B672" s="64" t="s">
        <v>924</v>
      </c>
      <c r="C672" s="64" t="s">
        <v>17</v>
      </c>
      <c r="D672" s="64" t="s">
        <v>3</v>
      </c>
      <c r="E672" s="64" t="s">
        <v>3</v>
      </c>
      <c r="F672" s="65">
        <f>F673</f>
        <v>2400000</v>
      </c>
      <c r="G672" s="65"/>
      <c r="I672" s="80">
        <v>686480</v>
      </c>
      <c r="L672" s="80">
        <f t="shared" si="31"/>
        <v>-1713520</v>
      </c>
      <c r="M672" s="80">
        <f t="shared" si="30"/>
        <v>0</v>
      </c>
    </row>
    <row r="673" spans="1:13" ht="15.75" outlineLevel="5">
      <c r="A673" s="63" t="s">
        <v>672</v>
      </c>
      <c r="B673" s="64" t="s">
        <v>924</v>
      </c>
      <c r="C673" s="64" t="s">
        <v>17</v>
      </c>
      <c r="D673" s="64" t="s">
        <v>159</v>
      </c>
      <c r="E673" s="64" t="s">
        <v>2</v>
      </c>
      <c r="F673" s="65">
        <f>Приложение_6!F473</f>
        <v>2400000</v>
      </c>
      <c r="G673" s="65"/>
      <c r="I673" s="80">
        <v>686480</v>
      </c>
      <c r="L673" s="80">
        <f t="shared" si="31"/>
        <v>-1713520</v>
      </c>
      <c r="M673" s="80">
        <f t="shared" si="30"/>
        <v>0</v>
      </c>
    </row>
    <row r="674" spans="1:13" ht="78.75" outlineLevel="5">
      <c r="A674" s="36" t="s">
        <v>895</v>
      </c>
      <c r="B674" s="37" t="s">
        <v>896</v>
      </c>
      <c r="C674" s="37" t="s">
        <v>1</v>
      </c>
      <c r="D674" s="64" t="s">
        <v>3</v>
      </c>
      <c r="E674" s="64" t="s">
        <v>3</v>
      </c>
      <c r="F674" s="65">
        <f>F675</f>
        <v>381600</v>
      </c>
      <c r="G674" s="65"/>
      <c r="I674" s="80"/>
      <c r="L674" s="80"/>
      <c r="M674" s="80"/>
    </row>
    <row r="675" spans="1:13" ht="31.5" outlineLevel="5">
      <c r="A675" s="36" t="s">
        <v>441</v>
      </c>
      <c r="B675" s="37" t="s">
        <v>897</v>
      </c>
      <c r="C675" s="37" t="s">
        <v>1</v>
      </c>
      <c r="D675" s="64" t="s">
        <v>3</v>
      </c>
      <c r="E675" s="64" t="s">
        <v>3</v>
      </c>
      <c r="F675" s="65">
        <f>F676</f>
        <v>381600</v>
      </c>
      <c r="G675" s="65"/>
      <c r="I675" s="80"/>
      <c r="L675" s="80"/>
      <c r="M675" s="80"/>
    </row>
    <row r="676" spans="1:13" ht="63" outlineLevel="5">
      <c r="A676" s="36" t="s">
        <v>689</v>
      </c>
      <c r="B676" s="37" t="s">
        <v>897</v>
      </c>
      <c r="C676" s="37" t="s">
        <v>17</v>
      </c>
      <c r="D676" s="64" t="s">
        <v>3</v>
      </c>
      <c r="E676" s="64" t="s">
        <v>3</v>
      </c>
      <c r="F676" s="65">
        <f>F677</f>
        <v>381600</v>
      </c>
      <c r="G676" s="65"/>
      <c r="I676" s="80"/>
      <c r="L676" s="80"/>
      <c r="M676" s="80"/>
    </row>
    <row r="677" spans="1:13" ht="15.75" outlineLevel="5">
      <c r="A677" s="63" t="s">
        <v>672</v>
      </c>
      <c r="B677" s="37" t="s">
        <v>897</v>
      </c>
      <c r="C677" s="37" t="s">
        <v>17</v>
      </c>
      <c r="D677" s="64" t="s">
        <v>159</v>
      </c>
      <c r="E677" s="64" t="s">
        <v>2</v>
      </c>
      <c r="F677" s="65">
        <f>Приложение_6!F476</f>
        <v>381600</v>
      </c>
      <c r="G677" s="65"/>
      <c r="I677" s="80"/>
      <c r="L677" s="80"/>
      <c r="M677" s="80"/>
    </row>
    <row r="678" spans="1:13" ht="110.25" outlineLevel="5">
      <c r="A678" s="36" t="s">
        <v>898</v>
      </c>
      <c r="B678" s="37" t="s">
        <v>899</v>
      </c>
      <c r="C678" s="37" t="s">
        <v>1</v>
      </c>
      <c r="D678" s="64" t="s">
        <v>3</v>
      </c>
      <c r="E678" s="64" t="s">
        <v>3</v>
      </c>
      <c r="F678" s="65">
        <f>F679</f>
        <v>726880</v>
      </c>
      <c r="G678" s="65"/>
      <c r="I678" s="80"/>
      <c r="L678" s="80"/>
      <c r="M678" s="80"/>
    </row>
    <row r="679" spans="1:13" ht="31.5" outlineLevel="5">
      <c r="A679" s="36" t="s">
        <v>441</v>
      </c>
      <c r="B679" s="37" t="s">
        <v>900</v>
      </c>
      <c r="C679" s="37" t="s">
        <v>1</v>
      </c>
      <c r="D679" s="64" t="s">
        <v>3</v>
      </c>
      <c r="E679" s="64" t="s">
        <v>3</v>
      </c>
      <c r="F679" s="65">
        <f>F680</f>
        <v>726880</v>
      </c>
      <c r="G679" s="65"/>
      <c r="I679" s="80"/>
      <c r="L679" s="80"/>
      <c r="M679" s="80"/>
    </row>
    <row r="680" spans="1:13" ht="63" outlineLevel="5">
      <c r="A680" s="36" t="s">
        <v>689</v>
      </c>
      <c r="B680" s="37" t="s">
        <v>900</v>
      </c>
      <c r="C680" s="37" t="s">
        <v>17</v>
      </c>
      <c r="D680" s="64" t="s">
        <v>3</v>
      </c>
      <c r="E680" s="64" t="s">
        <v>3</v>
      </c>
      <c r="F680" s="65">
        <f>F681</f>
        <v>726880</v>
      </c>
      <c r="G680" s="65"/>
      <c r="I680" s="80"/>
      <c r="L680" s="80"/>
      <c r="M680" s="80"/>
    </row>
    <row r="681" spans="1:13" ht="15.75" outlineLevel="5">
      <c r="A681" s="63" t="s">
        <v>672</v>
      </c>
      <c r="B681" s="37" t="s">
        <v>900</v>
      </c>
      <c r="C681" s="37" t="s">
        <v>17</v>
      </c>
      <c r="D681" s="64" t="s">
        <v>159</v>
      </c>
      <c r="E681" s="64" t="s">
        <v>2</v>
      </c>
      <c r="F681" s="65">
        <f>Приложение_6!F479</f>
        <v>726880</v>
      </c>
      <c r="G681" s="65"/>
      <c r="I681" s="80"/>
      <c r="L681" s="80"/>
      <c r="M681" s="80"/>
    </row>
    <row r="682" spans="1:13" ht="126">
      <c r="A682" s="70" t="s">
        <v>869</v>
      </c>
      <c r="B682" s="71" t="s">
        <v>83</v>
      </c>
      <c r="C682" s="71" t="s">
        <v>1</v>
      </c>
      <c r="D682" s="71" t="s">
        <v>3</v>
      </c>
      <c r="E682" s="71" t="s">
        <v>3</v>
      </c>
      <c r="F682" s="72">
        <f>F683+F687+F691</f>
        <v>150500</v>
      </c>
      <c r="G682" s="72"/>
      <c r="I682" s="80">
        <v>198000</v>
      </c>
      <c r="L682" s="80">
        <f t="shared" si="31"/>
        <v>47500</v>
      </c>
      <c r="M682" s="80">
        <f t="shared" si="30"/>
        <v>0</v>
      </c>
    </row>
    <row r="683" spans="1:13" ht="63" outlineLevel="2">
      <c r="A683" s="63" t="s">
        <v>504</v>
      </c>
      <c r="B683" s="64" t="s">
        <v>84</v>
      </c>
      <c r="C683" s="64" t="s">
        <v>1</v>
      </c>
      <c r="D683" s="64" t="s">
        <v>3</v>
      </c>
      <c r="E683" s="64" t="s">
        <v>3</v>
      </c>
      <c r="F683" s="65">
        <f>F684</f>
        <v>50500</v>
      </c>
      <c r="G683" s="65"/>
      <c r="I683" s="80">
        <v>50500</v>
      </c>
      <c r="L683" s="80">
        <f aca="true" t="shared" si="32" ref="L683:L746">I683-F683</f>
        <v>0</v>
      </c>
      <c r="M683" s="80">
        <f aca="true" t="shared" si="33" ref="M683:M746">J683-G683</f>
        <v>0</v>
      </c>
    </row>
    <row r="684" spans="1:13" ht="31.5" customHeight="1" outlineLevel="3">
      <c r="A684" s="63" t="s">
        <v>441</v>
      </c>
      <c r="B684" s="64" t="s">
        <v>85</v>
      </c>
      <c r="C684" s="64" t="s">
        <v>1</v>
      </c>
      <c r="D684" s="64" t="s">
        <v>3</v>
      </c>
      <c r="E684" s="64" t="s">
        <v>3</v>
      </c>
      <c r="F684" s="65">
        <f>F685</f>
        <v>50500</v>
      </c>
      <c r="G684" s="65"/>
      <c r="I684" s="80">
        <v>50500</v>
      </c>
      <c r="L684" s="80">
        <f t="shared" si="32"/>
        <v>0</v>
      </c>
      <c r="M684" s="80">
        <f t="shared" si="33"/>
        <v>0</v>
      </c>
    </row>
    <row r="685" spans="1:13" ht="63" outlineLevel="4">
      <c r="A685" s="63" t="s">
        <v>689</v>
      </c>
      <c r="B685" s="64" t="s">
        <v>85</v>
      </c>
      <c r="C685" s="64" t="s">
        <v>17</v>
      </c>
      <c r="D685" s="64" t="s">
        <v>3</v>
      </c>
      <c r="E685" s="64" t="s">
        <v>3</v>
      </c>
      <c r="F685" s="65">
        <f>F686</f>
        <v>50500</v>
      </c>
      <c r="G685" s="65"/>
      <c r="I685" s="80">
        <v>50500</v>
      </c>
      <c r="L685" s="80">
        <f t="shared" si="32"/>
        <v>0</v>
      </c>
      <c r="M685" s="80">
        <f t="shared" si="33"/>
        <v>0</v>
      </c>
    </row>
    <row r="686" spans="1:13" ht="31.5" outlineLevel="5">
      <c r="A686" s="63" t="s">
        <v>664</v>
      </c>
      <c r="B686" s="64" t="s">
        <v>85</v>
      </c>
      <c r="C686" s="64" t="s">
        <v>17</v>
      </c>
      <c r="D686" s="64" t="s">
        <v>2</v>
      </c>
      <c r="E686" s="64" t="s">
        <v>66</v>
      </c>
      <c r="F686" s="65">
        <f>Приложение_6!F182</f>
        <v>50500</v>
      </c>
      <c r="G686" s="65"/>
      <c r="I686" s="80">
        <v>50500</v>
      </c>
      <c r="L686" s="80">
        <f t="shared" si="32"/>
        <v>0</v>
      </c>
      <c r="M686" s="80">
        <f t="shared" si="33"/>
        <v>0</v>
      </c>
    </row>
    <row r="687" spans="1:13" ht="47.25" outlineLevel="2">
      <c r="A687" s="63" t="s">
        <v>505</v>
      </c>
      <c r="B687" s="64" t="s">
        <v>86</v>
      </c>
      <c r="C687" s="64" t="s">
        <v>1</v>
      </c>
      <c r="D687" s="64" t="s">
        <v>3</v>
      </c>
      <c r="E687" s="64" t="s">
        <v>3</v>
      </c>
      <c r="F687" s="65">
        <f>F688</f>
        <v>100000</v>
      </c>
      <c r="G687" s="65"/>
      <c r="I687" s="80">
        <v>100000</v>
      </c>
      <c r="L687" s="80">
        <f t="shared" si="32"/>
        <v>0</v>
      </c>
      <c r="M687" s="80">
        <f t="shared" si="33"/>
        <v>0</v>
      </c>
    </row>
    <row r="688" spans="1:13" ht="31.5" customHeight="1" outlineLevel="3">
      <c r="A688" s="63" t="s">
        <v>441</v>
      </c>
      <c r="B688" s="64" t="s">
        <v>87</v>
      </c>
      <c r="C688" s="64" t="s">
        <v>1</v>
      </c>
      <c r="D688" s="64" t="s">
        <v>3</v>
      </c>
      <c r="E688" s="64" t="s">
        <v>3</v>
      </c>
      <c r="F688" s="65">
        <f>F689</f>
        <v>100000</v>
      </c>
      <c r="G688" s="65"/>
      <c r="I688" s="80">
        <v>100000</v>
      </c>
      <c r="L688" s="80">
        <f t="shared" si="32"/>
        <v>0</v>
      </c>
      <c r="M688" s="80">
        <f t="shared" si="33"/>
        <v>0</v>
      </c>
    </row>
    <row r="689" spans="1:13" ht="63" outlineLevel="4">
      <c r="A689" s="63" t="s">
        <v>689</v>
      </c>
      <c r="B689" s="64" t="s">
        <v>87</v>
      </c>
      <c r="C689" s="64" t="s">
        <v>17</v>
      </c>
      <c r="D689" s="64" t="s">
        <v>3</v>
      </c>
      <c r="E689" s="64" t="s">
        <v>3</v>
      </c>
      <c r="F689" s="65">
        <f>F690</f>
        <v>100000</v>
      </c>
      <c r="G689" s="65"/>
      <c r="I689" s="80">
        <v>100000</v>
      </c>
      <c r="L689" s="80">
        <f t="shared" si="32"/>
        <v>0</v>
      </c>
      <c r="M689" s="80">
        <f t="shared" si="33"/>
        <v>0</v>
      </c>
    </row>
    <row r="690" spans="1:13" ht="31.5" outlineLevel="5">
      <c r="A690" s="63" t="s">
        <v>664</v>
      </c>
      <c r="B690" s="64" t="s">
        <v>87</v>
      </c>
      <c r="C690" s="64" t="s">
        <v>17</v>
      </c>
      <c r="D690" s="64" t="s">
        <v>2</v>
      </c>
      <c r="E690" s="64" t="s">
        <v>66</v>
      </c>
      <c r="F690" s="65">
        <f>Приложение_6!F185</f>
        <v>100000</v>
      </c>
      <c r="G690" s="65"/>
      <c r="I690" s="80">
        <v>100000</v>
      </c>
      <c r="L690" s="80">
        <f t="shared" si="32"/>
        <v>0</v>
      </c>
      <c r="M690" s="80">
        <f t="shared" si="33"/>
        <v>0</v>
      </c>
    </row>
    <row r="691" spans="1:13" ht="110.25" hidden="1" outlineLevel="2">
      <c r="A691" s="63" t="s">
        <v>506</v>
      </c>
      <c r="B691" s="64" t="s">
        <v>88</v>
      </c>
      <c r="C691" s="64" t="s">
        <v>1</v>
      </c>
      <c r="D691" s="64" t="s">
        <v>3</v>
      </c>
      <c r="E691" s="64" t="s">
        <v>3</v>
      </c>
      <c r="F691" s="65">
        <f>F692</f>
        <v>0</v>
      </c>
      <c r="G691" s="65"/>
      <c r="I691" s="80">
        <v>47500</v>
      </c>
      <c r="L691" s="80">
        <f t="shared" si="32"/>
        <v>47500</v>
      </c>
      <c r="M691" s="80">
        <f t="shared" si="33"/>
        <v>0</v>
      </c>
    </row>
    <row r="692" spans="1:13" ht="31.5" customHeight="1" hidden="1" outlineLevel="3">
      <c r="A692" s="63" t="s">
        <v>441</v>
      </c>
      <c r="B692" s="64" t="s">
        <v>89</v>
      </c>
      <c r="C692" s="64" t="s">
        <v>1</v>
      </c>
      <c r="D692" s="64" t="s">
        <v>3</v>
      </c>
      <c r="E692" s="64" t="s">
        <v>3</v>
      </c>
      <c r="F692" s="65">
        <f>F693</f>
        <v>0</v>
      </c>
      <c r="G692" s="65"/>
      <c r="I692" s="80">
        <v>47500</v>
      </c>
      <c r="L692" s="80">
        <f t="shared" si="32"/>
        <v>47500</v>
      </c>
      <c r="M692" s="80">
        <f t="shared" si="33"/>
        <v>0</v>
      </c>
    </row>
    <row r="693" spans="1:13" ht="31.5" hidden="1" outlineLevel="4">
      <c r="A693" s="63" t="s">
        <v>691</v>
      </c>
      <c r="B693" s="64" t="s">
        <v>89</v>
      </c>
      <c r="C693" s="64" t="s">
        <v>65</v>
      </c>
      <c r="D693" s="64" t="s">
        <v>3</v>
      </c>
      <c r="E693" s="64" t="s">
        <v>3</v>
      </c>
      <c r="F693" s="65">
        <f>F694</f>
        <v>0</v>
      </c>
      <c r="G693" s="65"/>
      <c r="I693" s="80">
        <v>47500</v>
      </c>
      <c r="L693" s="80">
        <f t="shared" si="32"/>
        <v>47500</v>
      </c>
      <c r="M693" s="80">
        <f t="shared" si="33"/>
        <v>0</v>
      </c>
    </row>
    <row r="694" spans="1:13" ht="31.5" hidden="1" outlineLevel="5">
      <c r="A694" s="63" t="s">
        <v>664</v>
      </c>
      <c r="B694" s="64" t="s">
        <v>89</v>
      </c>
      <c r="C694" s="64" t="s">
        <v>65</v>
      </c>
      <c r="D694" s="64" t="s">
        <v>2</v>
      </c>
      <c r="E694" s="64" t="s">
        <v>66</v>
      </c>
      <c r="F694" s="65">
        <f>Приложение_6!F188</f>
        <v>0</v>
      </c>
      <c r="G694" s="65"/>
      <c r="I694" s="80">
        <v>47500</v>
      </c>
      <c r="L694" s="80">
        <f t="shared" si="32"/>
        <v>47500</v>
      </c>
      <c r="M694" s="80">
        <f t="shared" si="33"/>
        <v>0</v>
      </c>
    </row>
    <row r="695" spans="1:13" ht="94.5" collapsed="1">
      <c r="A695" s="70" t="s">
        <v>859</v>
      </c>
      <c r="B695" s="71" t="s">
        <v>90</v>
      </c>
      <c r="C695" s="71" t="s">
        <v>1</v>
      </c>
      <c r="D695" s="71" t="s">
        <v>3</v>
      </c>
      <c r="E695" s="71" t="s">
        <v>3</v>
      </c>
      <c r="F695" s="72">
        <f>F696+F706+F751+F756</f>
        <v>47672082.13</v>
      </c>
      <c r="G695" s="72">
        <f>G706</f>
        <v>13042</v>
      </c>
      <c r="I695" s="80">
        <v>47307080.5</v>
      </c>
      <c r="J695" s="80">
        <v>13042</v>
      </c>
      <c r="L695" s="80">
        <f t="shared" si="32"/>
        <v>-365001.6300000027</v>
      </c>
      <c r="M695" s="80">
        <f t="shared" si="33"/>
        <v>0</v>
      </c>
    </row>
    <row r="696" spans="1:13" ht="94.5" outlineLevel="1">
      <c r="A696" s="70" t="s">
        <v>630</v>
      </c>
      <c r="B696" s="71" t="s">
        <v>188</v>
      </c>
      <c r="C696" s="71" t="s">
        <v>1</v>
      </c>
      <c r="D696" s="71" t="s">
        <v>3</v>
      </c>
      <c r="E696" s="71" t="s">
        <v>3</v>
      </c>
      <c r="F696" s="72">
        <f>F697</f>
        <v>10177543.87</v>
      </c>
      <c r="G696" s="72"/>
      <c r="I696" s="80">
        <v>10222143.87</v>
      </c>
      <c r="L696" s="80">
        <f t="shared" si="32"/>
        <v>44600</v>
      </c>
      <c r="M696" s="80">
        <f t="shared" si="33"/>
        <v>0</v>
      </c>
    </row>
    <row r="697" spans="1:13" ht="141.75" outlineLevel="2">
      <c r="A697" s="63" t="s">
        <v>540</v>
      </c>
      <c r="B697" s="64" t="s">
        <v>189</v>
      </c>
      <c r="C697" s="64" t="s">
        <v>1</v>
      </c>
      <c r="D697" s="64" t="s">
        <v>3</v>
      </c>
      <c r="E697" s="64" t="s">
        <v>3</v>
      </c>
      <c r="F697" s="65">
        <f>F698+F703</f>
        <v>10177543.87</v>
      </c>
      <c r="G697" s="65"/>
      <c r="I697" s="80">
        <v>10222143.87</v>
      </c>
      <c r="L697" s="80">
        <f t="shared" si="32"/>
        <v>44600</v>
      </c>
      <c r="M697" s="80">
        <f t="shared" si="33"/>
        <v>0</v>
      </c>
    </row>
    <row r="698" spans="1:13" ht="126" outlineLevel="3">
      <c r="A698" s="63" t="s">
        <v>443</v>
      </c>
      <c r="B698" s="64" t="s">
        <v>190</v>
      </c>
      <c r="C698" s="64" t="s">
        <v>1</v>
      </c>
      <c r="D698" s="64" t="s">
        <v>3</v>
      </c>
      <c r="E698" s="64" t="s">
        <v>3</v>
      </c>
      <c r="F698" s="65">
        <f>F699+F701</f>
        <v>9957543.87</v>
      </c>
      <c r="G698" s="65"/>
      <c r="I698" s="80">
        <v>9962143.87</v>
      </c>
      <c r="L698" s="80">
        <f t="shared" si="32"/>
        <v>4600</v>
      </c>
      <c r="M698" s="80">
        <f t="shared" si="33"/>
        <v>0</v>
      </c>
    </row>
    <row r="699" spans="1:13" ht="141.75" outlineLevel="4">
      <c r="A699" s="63" t="s">
        <v>856</v>
      </c>
      <c r="B699" s="64" t="s">
        <v>190</v>
      </c>
      <c r="C699" s="64" t="s">
        <v>10</v>
      </c>
      <c r="D699" s="64" t="s">
        <v>3</v>
      </c>
      <c r="E699" s="64" t="s">
        <v>3</v>
      </c>
      <c r="F699" s="65">
        <f>F700</f>
        <v>9885644.87</v>
      </c>
      <c r="G699" s="65"/>
      <c r="I699" s="80">
        <v>9885644.87</v>
      </c>
      <c r="L699" s="80">
        <f t="shared" si="32"/>
        <v>0</v>
      </c>
      <c r="M699" s="80">
        <f t="shared" si="33"/>
        <v>0</v>
      </c>
    </row>
    <row r="700" spans="1:13" ht="15.75" outlineLevel="5">
      <c r="A700" s="63" t="s">
        <v>670</v>
      </c>
      <c r="B700" s="64" t="s">
        <v>190</v>
      </c>
      <c r="C700" s="64" t="s">
        <v>10</v>
      </c>
      <c r="D700" s="64" t="s">
        <v>22</v>
      </c>
      <c r="E700" s="64" t="s">
        <v>187</v>
      </c>
      <c r="F700" s="65">
        <f>Приложение_6!F402</f>
        <v>9885644.87</v>
      </c>
      <c r="G700" s="65"/>
      <c r="I700" s="80">
        <v>9885644.87</v>
      </c>
      <c r="L700" s="80">
        <f t="shared" si="32"/>
        <v>0</v>
      </c>
      <c r="M700" s="80">
        <f t="shared" si="33"/>
        <v>0</v>
      </c>
    </row>
    <row r="701" spans="1:13" ht="63" outlineLevel="4">
      <c r="A701" s="63" t="s">
        <v>689</v>
      </c>
      <c r="B701" s="64" t="s">
        <v>190</v>
      </c>
      <c r="C701" s="64" t="s">
        <v>17</v>
      </c>
      <c r="D701" s="64" t="s">
        <v>3</v>
      </c>
      <c r="E701" s="64" t="s">
        <v>3</v>
      </c>
      <c r="F701" s="65">
        <f>F702</f>
        <v>71899</v>
      </c>
      <c r="G701" s="65"/>
      <c r="I701" s="80">
        <v>76499</v>
      </c>
      <c r="L701" s="80">
        <f t="shared" si="32"/>
        <v>4600</v>
      </c>
      <c r="M701" s="80">
        <f t="shared" si="33"/>
        <v>0</v>
      </c>
    </row>
    <row r="702" spans="1:13" ht="15.75" outlineLevel="5">
      <c r="A702" s="63" t="s">
        <v>670</v>
      </c>
      <c r="B702" s="64" t="s">
        <v>190</v>
      </c>
      <c r="C702" s="64" t="s">
        <v>17</v>
      </c>
      <c r="D702" s="64" t="s">
        <v>22</v>
      </c>
      <c r="E702" s="64" t="s">
        <v>187</v>
      </c>
      <c r="F702" s="65">
        <f>Приложение_6!F403</f>
        <v>71899</v>
      </c>
      <c r="G702" s="65"/>
      <c r="I702" s="80">
        <v>76499</v>
      </c>
      <c r="L702" s="80">
        <f t="shared" si="32"/>
        <v>4600</v>
      </c>
      <c r="M702" s="80">
        <f t="shared" si="33"/>
        <v>0</v>
      </c>
    </row>
    <row r="703" spans="1:13" ht="126" outlineLevel="3">
      <c r="A703" s="63" t="s">
        <v>432</v>
      </c>
      <c r="B703" s="64" t="s">
        <v>191</v>
      </c>
      <c r="C703" s="64" t="s">
        <v>1</v>
      </c>
      <c r="D703" s="64" t="s">
        <v>3</v>
      </c>
      <c r="E703" s="64" t="s">
        <v>3</v>
      </c>
      <c r="F703" s="65">
        <f>F704</f>
        <v>220000</v>
      </c>
      <c r="G703" s="65"/>
      <c r="I703" s="80">
        <v>260000</v>
      </c>
      <c r="L703" s="80">
        <f t="shared" si="32"/>
        <v>40000</v>
      </c>
      <c r="M703" s="80">
        <f t="shared" si="33"/>
        <v>0</v>
      </c>
    </row>
    <row r="704" spans="1:13" ht="141.75" outlineLevel="4">
      <c r="A704" s="63" t="s">
        <v>856</v>
      </c>
      <c r="B704" s="64" t="s">
        <v>191</v>
      </c>
      <c r="C704" s="64" t="s">
        <v>10</v>
      </c>
      <c r="D704" s="64" t="s">
        <v>3</v>
      </c>
      <c r="E704" s="64" t="s">
        <v>3</v>
      </c>
      <c r="F704" s="65">
        <f>F705</f>
        <v>220000</v>
      </c>
      <c r="G704" s="65"/>
      <c r="I704" s="80">
        <v>260000</v>
      </c>
      <c r="L704" s="80">
        <f t="shared" si="32"/>
        <v>40000</v>
      </c>
      <c r="M704" s="80">
        <f t="shared" si="33"/>
        <v>0</v>
      </c>
    </row>
    <row r="705" spans="1:13" ht="15.75" outlineLevel="5">
      <c r="A705" s="63" t="s">
        <v>670</v>
      </c>
      <c r="B705" s="64" t="s">
        <v>191</v>
      </c>
      <c r="C705" s="64" t="s">
        <v>10</v>
      </c>
      <c r="D705" s="64" t="s">
        <v>22</v>
      </c>
      <c r="E705" s="64" t="s">
        <v>187</v>
      </c>
      <c r="F705" s="65">
        <f>Приложение_6!F405</f>
        <v>220000</v>
      </c>
      <c r="G705" s="65"/>
      <c r="I705" s="80">
        <v>260000</v>
      </c>
      <c r="L705" s="80">
        <f t="shared" si="32"/>
        <v>40000</v>
      </c>
      <c r="M705" s="80">
        <f t="shared" si="33"/>
        <v>0</v>
      </c>
    </row>
    <row r="706" spans="1:13" ht="78.75" outlineLevel="1">
      <c r="A706" s="70" t="s">
        <v>620</v>
      </c>
      <c r="B706" s="71" t="s">
        <v>91</v>
      </c>
      <c r="C706" s="71" t="s">
        <v>1</v>
      </c>
      <c r="D706" s="71" t="s">
        <v>3</v>
      </c>
      <c r="E706" s="71" t="s">
        <v>3</v>
      </c>
      <c r="F706" s="72">
        <f>F707+F712+F722+F726+F742+F747</f>
        <v>16009383.760000002</v>
      </c>
      <c r="G706" s="72">
        <f>G712</f>
        <v>13042</v>
      </c>
      <c r="I706" s="80">
        <v>14593807.63</v>
      </c>
      <c r="J706" s="80">
        <v>13042</v>
      </c>
      <c r="L706" s="80">
        <f t="shared" si="32"/>
        <v>-1415576.1300000008</v>
      </c>
      <c r="M706" s="80">
        <f t="shared" si="33"/>
        <v>0</v>
      </c>
    </row>
    <row r="707" spans="1:13" ht="78.75" outlineLevel="2">
      <c r="A707" s="63" t="s">
        <v>507</v>
      </c>
      <c r="B707" s="64" t="s">
        <v>92</v>
      </c>
      <c r="C707" s="64" t="s">
        <v>1</v>
      </c>
      <c r="D707" s="64" t="s">
        <v>3</v>
      </c>
      <c r="E707" s="64" t="s">
        <v>3</v>
      </c>
      <c r="F707" s="65">
        <f>F708</f>
        <v>76665</v>
      </c>
      <c r="G707" s="65"/>
      <c r="I707" s="80">
        <v>119203</v>
      </c>
      <c r="L707" s="80">
        <f t="shared" si="32"/>
        <v>42538</v>
      </c>
      <c r="M707" s="80">
        <f t="shared" si="33"/>
        <v>0</v>
      </c>
    </row>
    <row r="708" spans="1:13" ht="31.5" customHeight="1" outlineLevel="3">
      <c r="A708" s="63" t="s">
        <v>441</v>
      </c>
      <c r="B708" s="64" t="s">
        <v>93</v>
      </c>
      <c r="C708" s="64" t="s">
        <v>1</v>
      </c>
      <c r="D708" s="64" t="s">
        <v>3</v>
      </c>
      <c r="E708" s="64" t="s">
        <v>3</v>
      </c>
      <c r="F708" s="65">
        <f>F709</f>
        <v>76665</v>
      </c>
      <c r="G708" s="65"/>
      <c r="I708" s="80">
        <v>119203</v>
      </c>
      <c r="L708" s="80">
        <f t="shared" si="32"/>
        <v>42538</v>
      </c>
      <c r="M708" s="80">
        <f t="shared" si="33"/>
        <v>0</v>
      </c>
    </row>
    <row r="709" spans="1:13" ht="63" outlineLevel="4">
      <c r="A709" s="63" t="s">
        <v>689</v>
      </c>
      <c r="B709" s="64" t="s">
        <v>93</v>
      </c>
      <c r="C709" s="64" t="s">
        <v>17</v>
      </c>
      <c r="D709" s="64" t="s">
        <v>3</v>
      </c>
      <c r="E709" s="64" t="s">
        <v>3</v>
      </c>
      <c r="F709" s="65">
        <f>F710+F711</f>
        <v>76665</v>
      </c>
      <c r="G709" s="65"/>
      <c r="I709" s="80">
        <v>119203</v>
      </c>
      <c r="L709" s="80">
        <f t="shared" si="32"/>
        <v>42538</v>
      </c>
      <c r="M709" s="80">
        <f t="shared" si="33"/>
        <v>0</v>
      </c>
    </row>
    <row r="710" spans="1:13" ht="31.5" outlineLevel="5">
      <c r="A710" s="63" t="s">
        <v>664</v>
      </c>
      <c r="B710" s="64" t="s">
        <v>93</v>
      </c>
      <c r="C710" s="64" t="s">
        <v>17</v>
      </c>
      <c r="D710" s="64" t="s">
        <v>2</v>
      </c>
      <c r="E710" s="64" t="s">
        <v>66</v>
      </c>
      <c r="F710" s="65">
        <f>Приложение_6!F193</f>
        <v>60000</v>
      </c>
      <c r="G710" s="65"/>
      <c r="I710" s="80">
        <v>95963</v>
      </c>
      <c r="L710" s="80">
        <f t="shared" si="32"/>
        <v>35963</v>
      </c>
      <c r="M710" s="80">
        <f t="shared" si="33"/>
        <v>0</v>
      </c>
    </row>
    <row r="711" spans="1:13" ht="15.75" outlineLevel="5">
      <c r="A711" s="63" t="s">
        <v>670</v>
      </c>
      <c r="B711" s="64" t="s">
        <v>93</v>
      </c>
      <c r="C711" s="64" t="s">
        <v>17</v>
      </c>
      <c r="D711" s="64" t="s">
        <v>22</v>
      </c>
      <c r="E711" s="64" t="s">
        <v>187</v>
      </c>
      <c r="F711" s="65">
        <f>Приложение_6!F409</f>
        <v>16665</v>
      </c>
      <c r="G711" s="65"/>
      <c r="I711" s="80">
        <v>23240</v>
      </c>
      <c r="L711" s="80">
        <f t="shared" si="32"/>
        <v>6575</v>
      </c>
      <c r="M711" s="80">
        <f t="shared" si="33"/>
        <v>0</v>
      </c>
    </row>
    <row r="712" spans="1:13" ht="63" outlineLevel="2">
      <c r="A712" s="63" t="s">
        <v>508</v>
      </c>
      <c r="B712" s="64" t="s">
        <v>94</v>
      </c>
      <c r="C712" s="64" t="s">
        <v>1</v>
      </c>
      <c r="D712" s="64" t="s">
        <v>3</v>
      </c>
      <c r="E712" s="64" t="s">
        <v>3</v>
      </c>
      <c r="F712" s="65">
        <f>F713+F716+F719</f>
        <v>2768042.52</v>
      </c>
      <c r="G712" s="65">
        <f>G718</f>
        <v>13042</v>
      </c>
      <c r="I712" s="80">
        <v>3567771.47</v>
      </c>
      <c r="J712" s="80">
        <v>13042</v>
      </c>
      <c r="L712" s="80">
        <f t="shared" si="32"/>
        <v>799728.9500000002</v>
      </c>
      <c r="M712" s="80">
        <f t="shared" si="33"/>
        <v>0</v>
      </c>
    </row>
    <row r="713" spans="1:13" ht="31.5" customHeight="1" outlineLevel="3">
      <c r="A713" s="63" t="s">
        <v>441</v>
      </c>
      <c r="B713" s="64" t="s">
        <v>95</v>
      </c>
      <c r="C713" s="64" t="s">
        <v>1</v>
      </c>
      <c r="D713" s="64" t="s">
        <v>3</v>
      </c>
      <c r="E713" s="64" t="s">
        <v>3</v>
      </c>
      <c r="F713" s="65">
        <f>F714</f>
        <v>2754314.74</v>
      </c>
      <c r="G713" s="65"/>
      <c r="I713" s="80">
        <v>3553079.47</v>
      </c>
      <c r="L713" s="80">
        <f t="shared" si="32"/>
        <v>798764.73</v>
      </c>
      <c r="M713" s="80">
        <f t="shared" si="33"/>
        <v>0</v>
      </c>
    </row>
    <row r="714" spans="1:13" ht="63" outlineLevel="4">
      <c r="A714" s="63" t="s">
        <v>689</v>
      </c>
      <c r="B714" s="64" t="s">
        <v>95</v>
      </c>
      <c r="C714" s="64" t="s">
        <v>17</v>
      </c>
      <c r="D714" s="64" t="s">
        <v>3</v>
      </c>
      <c r="E714" s="64" t="s">
        <v>3</v>
      </c>
      <c r="F714" s="65">
        <f>F715</f>
        <v>2754314.74</v>
      </c>
      <c r="G714" s="65"/>
      <c r="I714" s="80">
        <v>3553079.47</v>
      </c>
      <c r="L714" s="80">
        <f t="shared" si="32"/>
        <v>798764.73</v>
      </c>
      <c r="M714" s="80">
        <f t="shared" si="33"/>
        <v>0</v>
      </c>
    </row>
    <row r="715" spans="1:13" ht="31.5" outlineLevel="5">
      <c r="A715" s="63" t="s">
        <v>664</v>
      </c>
      <c r="B715" s="64" t="s">
        <v>95</v>
      </c>
      <c r="C715" s="64" t="s">
        <v>17</v>
      </c>
      <c r="D715" s="64" t="s">
        <v>2</v>
      </c>
      <c r="E715" s="64" t="s">
        <v>66</v>
      </c>
      <c r="F715" s="65">
        <f>Приложение_6!F196</f>
        <v>2754314.74</v>
      </c>
      <c r="G715" s="65"/>
      <c r="I715" s="80">
        <v>3553079.47</v>
      </c>
      <c r="L715" s="80">
        <f t="shared" si="32"/>
        <v>798764.73</v>
      </c>
      <c r="M715" s="80">
        <f t="shared" si="33"/>
        <v>0</v>
      </c>
    </row>
    <row r="716" spans="1:13" ht="110.25" customHeight="1" outlineLevel="3">
      <c r="A716" s="63" t="s">
        <v>442</v>
      </c>
      <c r="B716" s="64" t="s">
        <v>96</v>
      </c>
      <c r="C716" s="64" t="s">
        <v>1</v>
      </c>
      <c r="D716" s="64" t="s">
        <v>3</v>
      </c>
      <c r="E716" s="64" t="s">
        <v>3</v>
      </c>
      <c r="F716" s="65">
        <f>F717</f>
        <v>13042</v>
      </c>
      <c r="G716" s="65">
        <f>G717</f>
        <v>13042</v>
      </c>
      <c r="I716" s="80">
        <v>13042</v>
      </c>
      <c r="J716" s="80">
        <v>13042</v>
      </c>
      <c r="L716" s="80">
        <f t="shared" si="32"/>
        <v>0</v>
      </c>
      <c r="M716" s="80">
        <f t="shared" si="33"/>
        <v>0</v>
      </c>
    </row>
    <row r="717" spans="1:13" ht="63" outlineLevel="4">
      <c r="A717" s="63" t="s">
        <v>689</v>
      </c>
      <c r="B717" s="64" t="s">
        <v>96</v>
      </c>
      <c r="C717" s="64" t="s">
        <v>17</v>
      </c>
      <c r="D717" s="64" t="s">
        <v>3</v>
      </c>
      <c r="E717" s="64" t="s">
        <v>3</v>
      </c>
      <c r="F717" s="65">
        <f>F718</f>
        <v>13042</v>
      </c>
      <c r="G717" s="65">
        <f>G718</f>
        <v>13042</v>
      </c>
      <c r="I717" s="80">
        <v>13042</v>
      </c>
      <c r="J717" s="80">
        <v>13042</v>
      </c>
      <c r="L717" s="80">
        <f t="shared" si="32"/>
        <v>0</v>
      </c>
      <c r="M717" s="80">
        <f t="shared" si="33"/>
        <v>0</v>
      </c>
    </row>
    <row r="718" spans="1:13" ht="31.5" outlineLevel="5">
      <c r="A718" s="63" t="s">
        <v>664</v>
      </c>
      <c r="B718" s="64" t="s">
        <v>96</v>
      </c>
      <c r="C718" s="64" t="s">
        <v>17</v>
      </c>
      <c r="D718" s="64" t="s">
        <v>2</v>
      </c>
      <c r="E718" s="64" t="s">
        <v>66</v>
      </c>
      <c r="F718" s="65">
        <f>Приложение_6!F198</f>
        <v>13042</v>
      </c>
      <c r="G718" s="65">
        <f>F718</f>
        <v>13042</v>
      </c>
      <c r="I718" s="80">
        <v>13042</v>
      </c>
      <c r="J718" s="80">
        <v>13042</v>
      </c>
      <c r="L718" s="80">
        <f t="shared" si="32"/>
        <v>0</v>
      </c>
      <c r="M718" s="80">
        <f t="shared" si="33"/>
        <v>0</v>
      </c>
    </row>
    <row r="719" spans="1:13" ht="110.25" customHeight="1" outlineLevel="3">
      <c r="A719" s="63" t="s">
        <v>442</v>
      </c>
      <c r="B719" s="64" t="s">
        <v>97</v>
      </c>
      <c r="C719" s="64" t="s">
        <v>1</v>
      </c>
      <c r="D719" s="64" t="s">
        <v>3</v>
      </c>
      <c r="E719" s="64" t="s">
        <v>3</v>
      </c>
      <c r="F719" s="65">
        <f>F720</f>
        <v>685.78</v>
      </c>
      <c r="G719" s="65"/>
      <c r="I719" s="80">
        <v>1650</v>
      </c>
      <c r="L719" s="80">
        <f t="shared" si="32"/>
        <v>964.22</v>
      </c>
      <c r="M719" s="80">
        <f t="shared" si="33"/>
        <v>0</v>
      </c>
    </row>
    <row r="720" spans="1:13" ht="63" outlineLevel="4">
      <c r="A720" s="63" t="s">
        <v>689</v>
      </c>
      <c r="B720" s="64" t="s">
        <v>97</v>
      </c>
      <c r="C720" s="64" t="s">
        <v>17</v>
      </c>
      <c r="D720" s="64" t="s">
        <v>3</v>
      </c>
      <c r="E720" s="64" t="s">
        <v>3</v>
      </c>
      <c r="F720" s="65">
        <f>F721</f>
        <v>685.78</v>
      </c>
      <c r="G720" s="65"/>
      <c r="I720" s="80">
        <v>1650</v>
      </c>
      <c r="L720" s="80">
        <f t="shared" si="32"/>
        <v>964.22</v>
      </c>
      <c r="M720" s="80">
        <f t="shared" si="33"/>
        <v>0</v>
      </c>
    </row>
    <row r="721" spans="1:13" ht="31.5" outlineLevel="5">
      <c r="A721" s="63" t="s">
        <v>664</v>
      </c>
      <c r="B721" s="64" t="s">
        <v>97</v>
      </c>
      <c r="C721" s="64" t="s">
        <v>17</v>
      </c>
      <c r="D721" s="64" t="s">
        <v>2</v>
      </c>
      <c r="E721" s="64" t="s">
        <v>66</v>
      </c>
      <c r="F721" s="65">
        <f>Приложение_6!F200</f>
        <v>685.78</v>
      </c>
      <c r="G721" s="65"/>
      <c r="I721" s="80">
        <v>1650</v>
      </c>
      <c r="L721" s="80">
        <f t="shared" si="32"/>
        <v>964.22</v>
      </c>
      <c r="M721" s="80">
        <f t="shared" si="33"/>
        <v>0</v>
      </c>
    </row>
    <row r="722" spans="1:13" ht="63" outlineLevel="2">
      <c r="A722" s="63" t="s">
        <v>509</v>
      </c>
      <c r="B722" s="64" t="s">
        <v>98</v>
      </c>
      <c r="C722" s="64" t="s">
        <v>1</v>
      </c>
      <c r="D722" s="64" t="s">
        <v>3</v>
      </c>
      <c r="E722" s="64" t="s">
        <v>3</v>
      </c>
      <c r="F722" s="65">
        <f>F723</f>
        <v>5000</v>
      </c>
      <c r="G722" s="65"/>
      <c r="I722" s="80">
        <v>14000</v>
      </c>
      <c r="L722" s="80">
        <f t="shared" si="32"/>
        <v>9000</v>
      </c>
      <c r="M722" s="80">
        <f t="shared" si="33"/>
        <v>0</v>
      </c>
    </row>
    <row r="723" spans="1:13" ht="31.5" customHeight="1" outlineLevel="3">
      <c r="A723" s="63" t="s">
        <v>441</v>
      </c>
      <c r="B723" s="64" t="s">
        <v>99</v>
      </c>
      <c r="C723" s="64" t="s">
        <v>1</v>
      </c>
      <c r="D723" s="64" t="s">
        <v>3</v>
      </c>
      <c r="E723" s="64" t="s">
        <v>3</v>
      </c>
      <c r="F723" s="65">
        <f>F724</f>
        <v>5000</v>
      </c>
      <c r="G723" s="65"/>
      <c r="I723" s="80">
        <v>14000</v>
      </c>
      <c r="L723" s="80">
        <f t="shared" si="32"/>
        <v>9000</v>
      </c>
      <c r="M723" s="80">
        <f t="shared" si="33"/>
        <v>0</v>
      </c>
    </row>
    <row r="724" spans="1:13" ht="63" outlineLevel="4">
      <c r="A724" s="63" t="s">
        <v>689</v>
      </c>
      <c r="B724" s="64" t="s">
        <v>99</v>
      </c>
      <c r="C724" s="64" t="s">
        <v>17</v>
      </c>
      <c r="D724" s="64" t="s">
        <v>3</v>
      </c>
      <c r="E724" s="64" t="s">
        <v>3</v>
      </c>
      <c r="F724" s="65">
        <f>F725</f>
        <v>5000</v>
      </c>
      <c r="G724" s="65"/>
      <c r="I724" s="80">
        <v>14000</v>
      </c>
      <c r="L724" s="80">
        <f t="shared" si="32"/>
        <v>9000</v>
      </c>
      <c r="M724" s="80">
        <f t="shared" si="33"/>
        <v>0</v>
      </c>
    </row>
    <row r="725" spans="1:13" ht="31.5" outlineLevel="5">
      <c r="A725" s="63" t="s">
        <v>664</v>
      </c>
      <c r="B725" s="64" t="s">
        <v>99</v>
      </c>
      <c r="C725" s="64" t="s">
        <v>17</v>
      </c>
      <c r="D725" s="64" t="s">
        <v>2</v>
      </c>
      <c r="E725" s="64" t="s">
        <v>66</v>
      </c>
      <c r="F725" s="65">
        <f>Приложение_6!F203</f>
        <v>5000</v>
      </c>
      <c r="G725" s="65"/>
      <c r="I725" s="80">
        <v>14000</v>
      </c>
      <c r="L725" s="80">
        <f t="shared" si="32"/>
        <v>9000</v>
      </c>
      <c r="M725" s="80">
        <f t="shared" si="33"/>
        <v>0</v>
      </c>
    </row>
    <row r="726" spans="1:13" ht="63" outlineLevel="2">
      <c r="A726" s="63" t="s">
        <v>510</v>
      </c>
      <c r="B726" s="64" t="s">
        <v>100</v>
      </c>
      <c r="C726" s="64" t="s">
        <v>1</v>
      </c>
      <c r="D726" s="64" t="s">
        <v>3</v>
      </c>
      <c r="E726" s="64" t="s">
        <v>3</v>
      </c>
      <c r="F726" s="65">
        <f>F727</f>
        <v>12567302.240000002</v>
      </c>
      <c r="G726" s="65"/>
      <c r="I726" s="80">
        <v>10385303.16</v>
      </c>
      <c r="L726" s="80">
        <f t="shared" si="32"/>
        <v>-2181999.080000002</v>
      </c>
      <c r="M726" s="80">
        <f t="shared" si="33"/>
        <v>0</v>
      </c>
    </row>
    <row r="727" spans="1:13" ht="31.5" customHeight="1" outlineLevel="3">
      <c r="A727" s="63" t="s">
        <v>441</v>
      </c>
      <c r="B727" s="64" t="s">
        <v>101</v>
      </c>
      <c r="C727" s="64" t="s">
        <v>1</v>
      </c>
      <c r="D727" s="64" t="s">
        <v>3</v>
      </c>
      <c r="E727" s="64" t="s">
        <v>3</v>
      </c>
      <c r="F727" s="65">
        <f>F728+F734</f>
        <v>12567302.240000002</v>
      </c>
      <c r="G727" s="65"/>
      <c r="I727" s="80">
        <v>10385303.16</v>
      </c>
      <c r="L727" s="80">
        <f t="shared" si="32"/>
        <v>-2181999.080000002</v>
      </c>
      <c r="M727" s="80">
        <f t="shared" si="33"/>
        <v>0</v>
      </c>
    </row>
    <row r="728" spans="1:13" ht="63" outlineLevel="4">
      <c r="A728" s="63" t="s">
        <v>689</v>
      </c>
      <c r="B728" s="64" t="s">
        <v>101</v>
      </c>
      <c r="C728" s="64" t="s">
        <v>17</v>
      </c>
      <c r="D728" s="64" t="s">
        <v>3</v>
      </c>
      <c r="E728" s="64" t="s">
        <v>3</v>
      </c>
      <c r="F728" s="65">
        <f>F729+F730+F731+F732+F733</f>
        <v>3342122.96</v>
      </c>
      <c r="G728" s="65"/>
      <c r="I728" s="80">
        <v>2714123.88</v>
      </c>
      <c r="L728" s="80">
        <f t="shared" si="32"/>
        <v>-627999.0800000001</v>
      </c>
      <c r="M728" s="80">
        <f t="shared" si="33"/>
        <v>0</v>
      </c>
    </row>
    <row r="729" spans="1:13" ht="31.5" outlineLevel="5">
      <c r="A729" s="63" t="s">
        <v>664</v>
      </c>
      <c r="B729" s="64" t="s">
        <v>101</v>
      </c>
      <c r="C729" s="64" t="s">
        <v>17</v>
      </c>
      <c r="D729" s="64" t="s">
        <v>2</v>
      </c>
      <c r="E729" s="64" t="s">
        <v>66</v>
      </c>
      <c r="F729" s="65">
        <f>Приложение_6!F206</f>
        <v>1593672.99</v>
      </c>
      <c r="G729" s="65"/>
      <c r="I729" s="80">
        <v>1001182.24</v>
      </c>
      <c r="L729" s="80">
        <f t="shared" si="32"/>
        <v>-592490.75</v>
      </c>
      <c r="M729" s="80">
        <f t="shared" si="33"/>
        <v>0</v>
      </c>
    </row>
    <row r="730" spans="1:13" ht="94.5" outlineLevel="5">
      <c r="A730" s="63" t="s">
        <v>666</v>
      </c>
      <c r="B730" s="64" t="s">
        <v>101</v>
      </c>
      <c r="C730" s="64" t="s">
        <v>17</v>
      </c>
      <c r="D730" s="64" t="s">
        <v>14</v>
      </c>
      <c r="E730" s="64" t="s">
        <v>146</v>
      </c>
      <c r="F730" s="65">
        <f>Приложение_6!F341</f>
        <v>324247.05</v>
      </c>
      <c r="G730" s="65"/>
      <c r="I730" s="80">
        <v>334853.72</v>
      </c>
      <c r="L730" s="80">
        <f t="shared" si="32"/>
        <v>10606.669999999984</v>
      </c>
      <c r="M730" s="80">
        <f t="shared" si="33"/>
        <v>0</v>
      </c>
    </row>
    <row r="731" spans="1:13" ht="15.75" outlineLevel="5">
      <c r="A731" s="63" t="s">
        <v>670</v>
      </c>
      <c r="B731" s="64" t="s">
        <v>101</v>
      </c>
      <c r="C731" s="64" t="s">
        <v>17</v>
      </c>
      <c r="D731" s="64" t="s">
        <v>22</v>
      </c>
      <c r="E731" s="64" t="s">
        <v>187</v>
      </c>
      <c r="F731" s="65">
        <f>Приложение_6!F412</f>
        <v>728995.8</v>
      </c>
      <c r="G731" s="65"/>
      <c r="I731" s="80">
        <v>675880.8</v>
      </c>
      <c r="L731" s="80">
        <f t="shared" si="32"/>
        <v>-53115</v>
      </c>
      <c r="M731" s="80">
        <f t="shared" si="33"/>
        <v>0</v>
      </c>
    </row>
    <row r="732" spans="1:13" ht="31.5" outlineLevel="5">
      <c r="A732" s="63" t="s">
        <v>671</v>
      </c>
      <c r="B732" s="64" t="s">
        <v>101</v>
      </c>
      <c r="C732" s="64" t="s">
        <v>17</v>
      </c>
      <c r="D732" s="64" t="s">
        <v>22</v>
      </c>
      <c r="E732" s="64" t="s">
        <v>192</v>
      </c>
      <c r="F732" s="65">
        <f>Приложение_6!F421</f>
        <v>683807.12</v>
      </c>
      <c r="G732" s="65"/>
      <c r="I732" s="80">
        <v>690807.12</v>
      </c>
      <c r="L732" s="80">
        <f t="shared" si="32"/>
        <v>7000</v>
      </c>
      <c r="M732" s="80">
        <f t="shared" si="33"/>
        <v>0</v>
      </c>
    </row>
    <row r="733" spans="1:13" ht="47.25" outlineLevel="5">
      <c r="A733" s="63" t="s">
        <v>675</v>
      </c>
      <c r="B733" s="64" t="s">
        <v>101</v>
      </c>
      <c r="C733" s="64" t="s">
        <v>17</v>
      </c>
      <c r="D733" s="64" t="s">
        <v>159</v>
      </c>
      <c r="E733" s="64" t="s">
        <v>159</v>
      </c>
      <c r="F733" s="65">
        <f>Приложение_6!F554</f>
        <v>11400</v>
      </c>
      <c r="G733" s="65"/>
      <c r="I733" s="80">
        <v>11400</v>
      </c>
      <c r="L733" s="80">
        <f t="shared" si="32"/>
        <v>0</v>
      </c>
      <c r="M733" s="80">
        <f t="shared" si="33"/>
        <v>0</v>
      </c>
    </row>
    <row r="734" spans="1:13" ht="78.75" outlineLevel="4">
      <c r="A734" s="63" t="s">
        <v>692</v>
      </c>
      <c r="B734" s="64" t="s">
        <v>101</v>
      </c>
      <c r="C734" s="64" t="s">
        <v>70</v>
      </c>
      <c r="D734" s="64" t="s">
        <v>3</v>
      </c>
      <c r="E734" s="64" t="s">
        <v>3</v>
      </c>
      <c r="F734" s="65">
        <f>F735+F736+F737+F738+F739+F740+F741</f>
        <v>9225179.280000001</v>
      </c>
      <c r="G734" s="65"/>
      <c r="I734" s="80">
        <v>7671179.28</v>
      </c>
      <c r="L734" s="80">
        <f t="shared" si="32"/>
        <v>-1554000.000000001</v>
      </c>
      <c r="M734" s="80">
        <f t="shared" si="33"/>
        <v>0</v>
      </c>
    </row>
    <row r="735" spans="1:13" ht="31.5" outlineLevel="5">
      <c r="A735" s="63" t="s">
        <v>664</v>
      </c>
      <c r="B735" s="64" t="s">
        <v>101</v>
      </c>
      <c r="C735" s="64" t="s">
        <v>70</v>
      </c>
      <c r="D735" s="64" t="s">
        <v>2</v>
      </c>
      <c r="E735" s="64" t="s">
        <v>66</v>
      </c>
      <c r="F735" s="65">
        <f>Приложение_6!F207</f>
        <v>2330551.2800000003</v>
      </c>
      <c r="G735" s="65"/>
      <c r="I735" s="80">
        <v>776551.28</v>
      </c>
      <c r="L735" s="80">
        <f t="shared" si="32"/>
        <v>-1554000.0000000002</v>
      </c>
      <c r="M735" s="80">
        <f t="shared" si="33"/>
        <v>0</v>
      </c>
    </row>
    <row r="736" spans="1:13" ht="15.75" outlineLevel="5">
      <c r="A736" s="63" t="s">
        <v>676</v>
      </c>
      <c r="B736" s="64" t="s">
        <v>101</v>
      </c>
      <c r="C736" s="64" t="s">
        <v>70</v>
      </c>
      <c r="D736" s="64" t="s">
        <v>239</v>
      </c>
      <c r="E736" s="64" t="s">
        <v>2</v>
      </c>
      <c r="F736" s="65">
        <f>Приложение_6!F603</f>
        <v>2312206</v>
      </c>
      <c r="G736" s="65"/>
      <c r="I736" s="80">
        <v>2382758</v>
      </c>
      <c r="L736" s="80">
        <f t="shared" si="32"/>
        <v>70552</v>
      </c>
      <c r="M736" s="80">
        <f t="shared" si="33"/>
        <v>0</v>
      </c>
    </row>
    <row r="737" spans="1:13" ht="15.75" outlineLevel="5">
      <c r="A737" s="63" t="s">
        <v>677</v>
      </c>
      <c r="B737" s="64" t="s">
        <v>101</v>
      </c>
      <c r="C737" s="64" t="s">
        <v>70</v>
      </c>
      <c r="D737" s="64" t="s">
        <v>239</v>
      </c>
      <c r="E737" s="64" t="s">
        <v>5</v>
      </c>
      <c r="F737" s="65">
        <f>Приложение_6!F657</f>
        <v>1063952</v>
      </c>
      <c r="G737" s="65"/>
      <c r="I737" s="80">
        <v>963400</v>
      </c>
      <c r="L737" s="80">
        <f t="shared" si="32"/>
        <v>-100552</v>
      </c>
      <c r="M737" s="80">
        <f t="shared" si="33"/>
        <v>0</v>
      </c>
    </row>
    <row r="738" spans="1:13" ht="31.5" outlineLevel="5">
      <c r="A738" s="63" t="s">
        <v>678</v>
      </c>
      <c r="B738" s="64" t="s">
        <v>101</v>
      </c>
      <c r="C738" s="64" t="s">
        <v>70</v>
      </c>
      <c r="D738" s="64" t="s">
        <v>239</v>
      </c>
      <c r="E738" s="64" t="s">
        <v>14</v>
      </c>
      <c r="F738" s="65">
        <f>Приложение_6!F706</f>
        <v>1650629</v>
      </c>
      <c r="G738" s="65"/>
      <c r="I738" s="80">
        <v>1650629</v>
      </c>
      <c r="L738" s="80">
        <f t="shared" si="32"/>
        <v>0</v>
      </c>
      <c r="M738" s="80">
        <f t="shared" si="33"/>
        <v>0</v>
      </c>
    </row>
    <row r="739" spans="1:13" ht="15.75" outlineLevel="5">
      <c r="A739" s="63" t="s">
        <v>679</v>
      </c>
      <c r="B739" s="64" t="s">
        <v>101</v>
      </c>
      <c r="C739" s="64" t="s">
        <v>70</v>
      </c>
      <c r="D739" s="64" t="s">
        <v>239</v>
      </c>
      <c r="E739" s="64" t="s">
        <v>239</v>
      </c>
      <c r="F739" s="65">
        <f>Приложение_6!F753</f>
        <v>194938</v>
      </c>
      <c r="G739" s="65"/>
      <c r="I739" s="80">
        <v>194938</v>
      </c>
      <c r="L739" s="80">
        <f t="shared" si="32"/>
        <v>0</v>
      </c>
      <c r="M739" s="80">
        <f t="shared" si="33"/>
        <v>0</v>
      </c>
    </row>
    <row r="740" spans="1:13" ht="31.5" outlineLevel="5">
      <c r="A740" s="63" t="s">
        <v>680</v>
      </c>
      <c r="B740" s="64" t="s">
        <v>101</v>
      </c>
      <c r="C740" s="64" t="s">
        <v>70</v>
      </c>
      <c r="D740" s="64" t="s">
        <v>239</v>
      </c>
      <c r="E740" s="64" t="s">
        <v>146</v>
      </c>
      <c r="F740" s="65">
        <f>Приложение_6!F789</f>
        <v>664700</v>
      </c>
      <c r="G740" s="65"/>
      <c r="I740" s="80">
        <v>694700</v>
      </c>
      <c r="L740" s="80">
        <f t="shared" si="32"/>
        <v>30000</v>
      </c>
      <c r="M740" s="80">
        <f t="shared" si="33"/>
        <v>0</v>
      </c>
    </row>
    <row r="741" spans="1:13" ht="15.75" outlineLevel="5">
      <c r="A741" s="63" t="s">
        <v>681</v>
      </c>
      <c r="B741" s="64" t="s">
        <v>101</v>
      </c>
      <c r="C741" s="64" t="s">
        <v>70</v>
      </c>
      <c r="D741" s="64" t="s">
        <v>165</v>
      </c>
      <c r="E741" s="64" t="s">
        <v>2</v>
      </c>
      <c r="F741" s="65">
        <f>Приложение_6!F869</f>
        <v>1008203</v>
      </c>
      <c r="G741" s="65"/>
      <c r="I741" s="80">
        <v>1008203</v>
      </c>
      <c r="L741" s="80">
        <f t="shared" si="32"/>
        <v>0</v>
      </c>
      <c r="M741" s="80">
        <f t="shared" si="33"/>
        <v>0</v>
      </c>
    </row>
    <row r="742" spans="1:13" ht="31.5" outlineLevel="2">
      <c r="A742" s="63" t="s">
        <v>511</v>
      </c>
      <c r="B742" s="64" t="s">
        <v>102</v>
      </c>
      <c r="C742" s="64" t="s">
        <v>1</v>
      </c>
      <c r="D742" s="64" t="s">
        <v>3</v>
      </c>
      <c r="E742" s="64" t="s">
        <v>3</v>
      </c>
      <c r="F742" s="65">
        <f>F743</f>
        <v>137714</v>
      </c>
      <c r="G742" s="65"/>
      <c r="I742" s="80">
        <v>147530</v>
      </c>
      <c r="L742" s="80">
        <f t="shared" si="32"/>
        <v>9816</v>
      </c>
      <c r="M742" s="80">
        <f t="shared" si="33"/>
        <v>0</v>
      </c>
    </row>
    <row r="743" spans="1:13" ht="31.5" customHeight="1" outlineLevel="3">
      <c r="A743" s="63" t="s">
        <v>441</v>
      </c>
      <c r="B743" s="64" t="s">
        <v>103</v>
      </c>
      <c r="C743" s="64" t="s">
        <v>1</v>
      </c>
      <c r="D743" s="64" t="s">
        <v>3</v>
      </c>
      <c r="E743" s="64" t="s">
        <v>3</v>
      </c>
      <c r="F743" s="65">
        <f>F744</f>
        <v>137714</v>
      </c>
      <c r="G743" s="65"/>
      <c r="I743" s="80">
        <v>147530</v>
      </c>
      <c r="L743" s="80">
        <f t="shared" si="32"/>
        <v>9816</v>
      </c>
      <c r="M743" s="80">
        <f t="shared" si="33"/>
        <v>0</v>
      </c>
    </row>
    <row r="744" spans="1:13" ht="63" outlineLevel="4">
      <c r="A744" s="63" t="s">
        <v>689</v>
      </c>
      <c r="B744" s="64" t="s">
        <v>103</v>
      </c>
      <c r="C744" s="64" t="s">
        <v>17</v>
      </c>
      <c r="D744" s="64" t="s">
        <v>3</v>
      </c>
      <c r="E744" s="64" t="s">
        <v>3</v>
      </c>
      <c r="F744" s="65">
        <f>F745+F746</f>
        <v>137714</v>
      </c>
      <c r="G744" s="65"/>
      <c r="I744" s="80">
        <v>147530</v>
      </c>
      <c r="L744" s="80">
        <f t="shared" si="32"/>
        <v>9816</v>
      </c>
      <c r="M744" s="80">
        <f t="shared" si="33"/>
        <v>0</v>
      </c>
    </row>
    <row r="745" spans="1:13" ht="31.5" outlineLevel="5">
      <c r="A745" s="63" t="s">
        <v>664</v>
      </c>
      <c r="B745" s="64" t="s">
        <v>103</v>
      </c>
      <c r="C745" s="64" t="s">
        <v>17</v>
      </c>
      <c r="D745" s="64" t="s">
        <v>2</v>
      </c>
      <c r="E745" s="64" t="s">
        <v>66</v>
      </c>
      <c r="F745" s="65">
        <f>Приложение_6!F210</f>
        <v>2390</v>
      </c>
      <c r="G745" s="65"/>
      <c r="I745" s="80">
        <v>2390</v>
      </c>
      <c r="L745" s="80">
        <f t="shared" si="32"/>
        <v>0</v>
      </c>
      <c r="M745" s="80">
        <f t="shared" si="33"/>
        <v>0</v>
      </c>
    </row>
    <row r="746" spans="1:13" ht="15.75" outlineLevel="5">
      <c r="A746" s="63" t="s">
        <v>670</v>
      </c>
      <c r="B746" s="64" t="s">
        <v>103</v>
      </c>
      <c r="C746" s="64" t="s">
        <v>17</v>
      </c>
      <c r="D746" s="64" t="s">
        <v>22</v>
      </c>
      <c r="E746" s="64" t="s">
        <v>187</v>
      </c>
      <c r="F746" s="65">
        <f>Приложение_6!F415</f>
        <v>135324</v>
      </c>
      <c r="G746" s="65"/>
      <c r="I746" s="80">
        <v>145140</v>
      </c>
      <c r="L746" s="80">
        <f t="shared" si="32"/>
        <v>9816</v>
      </c>
      <c r="M746" s="80">
        <f t="shared" si="33"/>
        <v>0</v>
      </c>
    </row>
    <row r="747" spans="1:13" ht="31.5" outlineLevel="2">
      <c r="A747" s="63" t="s">
        <v>512</v>
      </c>
      <c r="B747" s="64" t="s">
        <v>104</v>
      </c>
      <c r="C747" s="64" t="s">
        <v>1</v>
      </c>
      <c r="D747" s="64" t="s">
        <v>3</v>
      </c>
      <c r="E747" s="64" t="s">
        <v>3</v>
      </c>
      <c r="F747" s="65">
        <f>F748</f>
        <v>454660</v>
      </c>
      <c r="G747" s="65"/>
      <c r="I747" s="80">
        <v>360000</v>
      </c>
      <c r="L747" s="80">
        <f aca="true" t="shared" si="34" ref="L747:L824">I747-F747</f>
        <v>-94660</v>
      </c>
      <c r="M747" s="80">
        <f aca="true" t="shared" si="35" ref="M747:M824">J747-G747</f>
        <v>0</v>
      </c>
    </row>
    <row r="748" spans="1:13" ht="31.5" customHeight="1" outlineLevel="3">
      <c r="A748" s="63" t="s">
        <v>441</v>
      </c>
      <c r="B748" s="64" t="s">
        <v>105</v>
      </c>
      <c r="C748" s="64" t="s">
        <v>1</v>
      </c>
      <c r="D748" s="64" t="s">
        <v>3</v>
      </c>
      <c r="E748" s="64" t="s">
        <v>3</v>
      </c>
      <c r="F748" s="65">
        <f>F749</f>
        <v>454660</v>
      </c>
      <c r="G748" s="65"/>
      <c r="I748" s="80">
        <v>360000</v>
      </c>
      <c r="L748" s="80">
        <f t="shared" si="34"/>
        <v>-94660</v>
      </c>
      <c r="M748" s="80">
        <f t="shared" si="35"/>
        <v>0</v>
      </c>
    </row>
    <row r="749" spans="1:13" ht="63" outlineLevel="4">
      <c r="A749" s="63" t="s">
        <v>689</v>
      </c>
      <c r="B749" s="64" t="s">
        <v>105</v>
      </c>
      <c r="C749" s="64" t="s">
        <v>17</v>
      </c>
      <c r="D749" s="64" t="s">
        <v>3</v>
      </c>
      <c r="E749" s="64" t="s">
        <v>3</v>
      </c>
      <c r="F749" s="65">
        <f>F750</f>
        <v>454660</v>
      </c>
      <c r="G749" s="65"/>
      <c r="I749" s="80">
        <v>360000</v>
      </c>
      <c r="L749" s="80">
        <f t="shared" si="34"/>
        <v>-94660</v>
      </c>
      <c r="M749" s="80">
        <f t="shared" si="35"/>
        <v>0</v>
      </c>
    </row>
    <row r="750" spans="1:13" ht="31.5" outlineLevel="5">
      <c r="A750" s="63" t="s">
        <v>664</v>
      </c>
      <c r="B750" s="64" t="s">
        <v>105</v>
      </c>
      <c r="C750" s="64" t="s">
        <v>17</v>
      </c>
      <c r="D750" s="64" t="s">
        <v>2</v>
      </c>
      <c r="E750" s="64" t="s">
        <v>66</v>
      </c>
      <c r="F750" s="65">
        <f>Приложение_6!F213</f>
        <v>454660</v>
      </c>
      <c r="G750" s="65"/>
      <c r="I750" s="80">
        <v>360000</v>
      </c>
      <c r="L750" s="80">
        <f t="shared" si="34"/>
        <v>-94660</v>
      </c>
      <c r="M750" s="80">
        <f t="shared" si="35"/>
        <v>0</v>
      </c>
    </row>
    <row r="751" spans="1:13" ht="141.75" outlineLevel="1">
      <c r="A751" s="70" t="s">
        <v>650</v>
      </c>
      <c r="B751" s="71" t="s">
        <v>407</v>
      </c>
      <c r="C751" s="71" t="s">
        <v>1</v>
      </c>
      <c r="D751" s="71" t="s">
        <v>3</v>
      </c>
      <c r="E751" s="71" t="s">
        <v>3</v>
      </c>
      <c r="F751" s="72">
        <f>F752</f>
        <v>419025.5</v>
      </c>
      <c r="G751" s="72"/>
      <c r="I751" s="80">
        <v>1425000</v>
      </c>
      <c r="L751" s="80">
        <f t="shared" si="34"/>
        <v>1005974.5</v>
      </c>
      <c r="M751" s="80">
        <f t="shared" si="35"/>
        <v>0</v>
      </c>
    </row>
    <row r="752" spans="1:13" ht="110.25" outlineLevel="2">
      <c r="A752" s="63" t="s">
        <v>607</v>
      </c>
      <c r="B752" s="64" t="s">
        <v>408</v>
      </c>
      <c r="C752" s="64" t="s">
        <v>1</v>
      </c>
      <c r="D752" s="64" t="s">
        <v>3</v>
      </c>
      <c r="E752" s="64" t="s">
        <v>3</v>
      </c>
      <c r="F752" s="65">
        <f>F753</f>
        <v>419025.5</v>
      </c>
      <c r="G752" s="65"/>
      <c r="I752" s="80">
        <v>1425000</v>
      </c>
      <c r="L752" s="80">
        <f t="shared" si="34"/>
        <v>1005974.5</v>
      </c>
      <c r="M752" s="80">
        <f t="shared" si="35"/>
        <v>0</v>
      </c>
    </row>
    <row r="753" spans="1:13" ht="31.5" customHeight="1" outlineLevel="3">
      <c r="A753" s="63" t="s">
        <v>441</v>
      </c>
      <c r="B753" s="64" t="s">
        <v>409</v>
      </c>
      <c r="C753" s="64" t="s">
        <v>1</v>
      </c>
      <c r="D753" s="64" t="s">
        <v>3</v>
      </c>
      <c r="E753" s="64" t="s">
        <v>3</v>
      </c>
      <c r="F753" s="65">
        <f>F754</f>
        <v>419025.5</v>
      </c>
      <c r="G753" s="65"/>
      <c r="I753" s="80">
        <v>1425000</v>
      </c>
      <c r="L753" s="80">
        <f t="shared" si="34"/>
        <v>1005974.5</v>
      </c>
      <c r="M753" s="80">
        <f t="shared" si="35"/>
        <v>0</v>
      </c>
    </row>
    <row r="754" spans="1:13" ht="63" outlineLevel="4">
      <c r="A754" s="63" t="s">
        <v>689</v>
      </c>
      <c r="B754" s="64" t="s">
        <v>409</v>
      </c>
      <c r="C754" s="64" t="s">
        <v>17</v>
      </c>
      <c r="D754" s="64" t="s">
        <v>3</v>
      </c>
      <c r="E754" s="64" t="s">
        <v>3</v>
      </c>
      <c r="F754" s="65">
        <f>F755</f>
        <v>419025.5</v>
      </c>
      <c r="G754" s="65"/>
      <c r="I754" s="80">
        <v>1425000</v>
      </c>
      <c r="L754" s="80">
        <f t="shared" si="34"/>
        <v>1005974.5</v>
      </c>
      <c r="M754" s="80">
        <f t="shared" si="35"/>
        <v>0</v>
      </c>
    </row>
    <row r="755" spans="1:13" ht="31.5" outlineLevel="5">
      <c r="A755" s="63" t="s">
        <v>686</v>
      </c>
      <c r="B755" s="64" t="s">
        <v>409</v>
      </c>
      <c r="C755" s="64" t="s">
        <v>17</v>
      </c>
      <c r="D755" s="64" t="s">
        <v>192</v>
      </c>
      <c r="E755" s="64" t="s">
        <v>5</v>
      </c>
      <c r="F755" s="65">
        <f>Приложение_6!F963</f>
        <v>419025.5</v>
      </c>
      <c r="G755" s="65"/>
      <c r="I755" s="80">
        <v>1425000</v>
      </c>
      <c r="L755" s="80">
        <f t="shared" si="34"/>
        <v>1005974.5</v>
      </c>
      <c r="M755" s="80">
        <f t="shared" si="35"/>
        <v>0</v>
      </c>
    </row>
    <row r="756" spans="1:13" ht="110.25" outlineLevel="1">
      <c r="A756" s="70" t="s">
        <v>621</v>
      </c>
      <c r="B756" s="71" t="s">
        <v>106</v>
      </c>
      <c r="C756" s="71" t="s">
        <v>1</v>
      </c>
      <c r="D756" s="71" t="s">
        <v>3</v>
      </c>
      <c r="E756" s="71" t="s">
        <v>3</v>
      </c>
      <c r="F756" s="72">
        <f>F757</f>
        <v>21066129</v>
      </c>
      <c r="G756" s="72"/>
      <c r="I756" s="80">
        <v>21066129</v>
      </c>
      <c r="L756" s="80">
        <f t="shared" si="34"/>
        <v>0</v>
      </c>
      <c r="M756" s="80">
        <f t="shared" si="35"/>
        <v>0</v>
      </c>
    </row>
    <row r="757" spans="1:13" ht="63" outlineLevel="2">
      <c r="A757" s="63" t="s">
        <v>513</v>
      </c>
      <c r="B757" s="64" t="s">
        <v>107</v>
      </c>
      <c r="C757" s="64" t="s">
        <v>1</v>
      </c>
      <c r="D757" s="64" t="s">
        <v>3</v>
      </c>
      <c r="E757" s="64" t="s">
        <v>3</v>
      </c>
      <c r="F757" s="65">
        <f>F758+F761</f>
        <v>21066129</v>
      </c>
      <c r="G757" s="65"/>
      <c r="I757" s="80">
        <v>21066129</v>
      </c>
      <c r="L757" s="80">
        <f t="shared" si="34"/>
        <v>0</v>
      </c>
      <c r="M757" s="80">
        <f t="shared" si="35"/>
        <v>0</v>
      </c>
    </row>
    <row r="758" spans="1:13" ht="126" outlineLevel="3">
      <c r="A758" s="63" t="s">
        <v>443</v>
      </c>
      <c r="B758" s="64" t="s">
        <v>108</v>
      </c>
      <c r="C758" s="64" t="s">
        <v>1</v>
      </c>
      <c r="D758" s="64" t="s">
        <v>3</v>
      </c>
      <c r="E758" s="64" t="s">
        <v>3</v>
      </c>
      <c r="F758" s="65">
        <f>F759</f>
        <v>20627809</v>
      </c>
      <c r="G758" s="65"/>
      <c r="I758" s="80">
        <v>20627809</v>
      </c>
      <c r="L758" s="80">
        <f t="shared" si="34"/>
        <v>0</v>
      </c>
      <c r="M758" s="80">
        <f t="shared" si="35"/>
        <v>0</v>
      </c>
    </row>
    <row r="759" spans="1:13" ht="78.75" outlineLevel="4">
      <c r="A759" s="63" t="s">
        <v>692</v>
      </c>
      <c r="B759" s="64" t="s">
        <v>108</v>
      </c>
      <c r="C759" s="64" t="s">
        <v>70</v>
      </c>
      <c r="D759" s="64" t="s">
        <v>3</v>
      </c>
      <c r="E759" s="64" t="s">
        <v>3</v>
      </c>
      <c r="F759" s="65">
        <f>F760</f>
        <v>20627809</v>
      </c>
      <c r="G759" s="65"/>
      <c r="I759" s="80">
        <v>20627809</v>
      </c>
      <c r="L759" s="80">
        <f t="shared" si="34"/>
        <v>0</v>
      </c>
      <c r="M759" s="80">
        <f t="shared" si="35"/>
        <v>0</v>
      </c>
    </row>
    <row r="760" spans="1:13" ht="31.5" outlineLevel="5">
      <c r="A760" s="63" t="s">
        <v>664</v>
      </c>
      <c r="B760" s="64" t="s">
        <v>108</v>
      </c>
      <c r="C760" s="64" t="s">
        <v>70</v>
      </c>
      <c r="D760" s="64" t="s">
        <v>2</v>
      </c>
      <c r="E760" s="64" t="s">
        <v>66</v>
      </c>
      <c r="F760" s="65">
        <f>Приложение_6!F217</f>
        <v>20627809</v>
      </c>
      <c r="G760" s="65"/>
      <c r="I760" s="80">
        <v>20627809</v>
      </c>
      <c r="L760" s="80">
        <f t="shared" si="34"/>
        <v>0</v>
      </c>
      <c r="M760" s="80">
        <f t="shared" si="35"/>
        <v>0</v>
      </c>
    </row>
    <row r="761" spans="1:13" ht="126" outlineLevel="3">
      <c r="A761" s="63" t="s">
        <v>432</v>
      </c>
      <c r="B761" s="64" t="s">
        <v>109</v>
      </c>
      <c r="C761" s="64" t="s">
        <v>1</v>
      </c>
      <c r="D761" s="64" t="s">
        <v>3</v>
      </c>
      <c r="E761" s="64" t="s">
        <v>3</v>
      </c>
      <c r="F761" s="65">
        <f>F762</f>
        <v>438320</v>
      </c>
      <c r="G761" s="65"/>
      <c r="I761" s="80">
        <v>438320</v>
      </c>
      <c r="L761" s="80">
        <f t="shared" si="34"/>
        <v>0</v>
      </c>
      <c r="M761" s="80">
        <f t="shared" si="35"/>
        <v>0</v>
      </c>
    </row>
    <row r="762" spans="1:13" ht="78.75" outlineLevel="4">
      <c r="A762" s="63" t="s">
        <v>692</v>
      </c>
      <c r="B762" s="64" t="s">
        <v>109</v>
      </c>
      <c r="C762" s="64" t="s">
        <v>70</v>
      </c>
      <c r="D762" s="64" t="s">
        <v>3</v>
      </c>
      <c r="E762" s="64" t="s">
        <v>3</v>
      </c>
      <c r="F762" s="65">
        <f>F763</f>
        <v>438320</v>
      </c>
      <c r="G762" s="65"/>
      <c r="I762" s="80">
        <v>438320</v>
      </c>
      <c r="L762" s="80">
        <f t="shared" si="34"/>
        <v>0</v>
      </c>
      <c r="M762" s="80">
        <f t="shared" si="35"/>
        <v>0</v>
      </c>
    </row>
    <row r="763" spans="1:13" ht="31.5" outlineLevel="5">
      <c r="A763" s="63" t="s">
        <v>664</v>
      </c>
      <c r="B763" s="64" t="s">
        <v>109</v>
      </c>
      <c r="C763" s="64" t="s">
        <v>70</v>
      </c>
      <c r="D763" s="64" t="s">
        <v>2</v>
      </c>
      <c r="E763" s="64" t="s">
        <v>66</v>
      </c>
      <c r="F763" s="65">
        <f>Приложение_6!F219</f>
        <v>438320</v>
      </c>
      <c r="G763" s="65"/>
      <c r="I763" s="80">
        <v>438320</v>
      </c>
      <c r="L763" s="80">
        <f t="shared" si="34"/>
        <v>0</v>
      </c>
      <c r="M763" s="80">
        <f t="shared" si="35"/>
        <v>0</v>
      </c>
    </row>
    <row r="764" spans="1:13" ht="141.75">
      <c r="A764" s="70" t="s">
        <v>858</v>
      </c>
      <c r="B764" s="71" t="s">
        <v>38</v>
      </c>
      <c r="C764" s="71" t="s">
        <v>1</v>
      </c>
      <c r="D764" s="71" t="s">
        <v>3</v>
      </c>
      <c r="E764" s="71" t="s">
        <v>3</v>
      </c>
      <c r="F764" s="72">
        <f>F765+F778+F783</f>
        <v>22906865.130000003</v>
      </c>
      <c r="G764" s="72"/>
      <c r="I764" s="80">
        <v>22544808.99</v>
      </c>
      <c r="L764" s="80">
        <f t="shared" si="34"/>
        <v>-362056.1400000043</v>
      </c>
      <c r="M764" s="80">
        <f t="shared" si="35"/>
        <v>0</v>
      </c>
    </row>
    <row r="765" spans="1:13" ht="63" outlineLevel="1">
      <c r="A765" s="63" t="s">
        <v>611</v>
      </c>
      <c r="B765" s="64" t="s">
        <v>39</v>
      </c>
      <c r="C765" s="64" t="s">
        <v>1</v>
      </c>
      <c r="D765" s="64" t="s">
        <v>3</v>
      </c>
      <c r="E765" s="64" t="s">
        <v>3</v>
      </c>
      <c r="F765" s="65">
        <f>F766</f>
        <v>10680162</v>
      </c>
      <c r="G765" s="65"/>
      <c r="I765" s="80">
        <v>10743162</v>
      </c>
      <c r="L765" s="80">
        <f t="shared" si="34"/>
        <v>63000</v>
      </c>
      <c r="M765" s="80">
        <f t="shared" si="35"/>
        <v>0</v>
      </c>
    </row>
    <row r="766" spans="1:13" ht="110.25" outlineLevel="2">
      <c r="A766" s="63" t="s">
        <v>495</v>
      </c>
      <c r="B766" s="64" t="s">
        <v>40</v>
      </c>
      <c r="C766" s="64" t="s">
        <v>1</v>
      </c>
      <c r="D766" s="64" t="s">
        <v>3</v>
      </c>
      <c r="E766" s="64" t="s">
        <v>3</v>
      </c>
      <c r="F766" s="65">
        <f>F767+F775+F770</f>
        <v>10680162</v>
      </c>
      <c r="G766" s="65"/>
      <c r="I766" s="80">
        <v>10743162</v>
      </c>
      <c r="L766" s="80">
        <f t="shared" si="34"/>
        <v>63000</v>
      </c>
      <c r="M766" s="80">
        <f t="shared" si="35"/>
        <v>0</v>
      </c>
    </row>
    <row r="767" spans="1:13" ht="63" outlineLevel="3">
      <c r="A767" s="63" t="s">
        <v>434</v>
      </c>
      <c r="B767" s="64" t="s">
        <v>41</v>
      </c>
      <c r="C767" s="64" t="s">
        <v>1</v>
      </c>
      <c r="D767" s="64" t="s">
        <v>3</v>
      </c>
      <c r="E767" s="64" t="s">
        <v>3</v>
      </c>
      <c r="F767" s="65">
        <f>F768</f>
        <v>10372616</v>
      </c>
      <c r="G767" s="65"/>
      <c r="I767" s="80">
        <v>10373316</v>
      </c>
      <c r="L767" s="80">
        <f t="shared" si="34"/>
        <v>700</v>
      </c>
      <c r="M767" s="80">
        <f t="shared" si="35"/>
        <v>0</v>
      </c>
    </row>
    <row r="768" spans="1:13" ht="141.75" outlineLevel="4">
      <c r="A768" s="63" t="s">
        <v>856</v>
      </c>
      <c r="B768" s="64" t="s">
        <v>41</v>
      </c>
      <c r="C768" s="64" t="s">
        <v>10</v>
      </c>
      <c r="D768" s="64" t="s">
        <v>3</v>
      </c>
      <c r="E768" s="64" t="s">
        <v>3</v>
      </c>
      <c r="F768" s="65">
        <f>F769</f>
        <v>10372616</v>
      </c>
      <c r="G768" s="65"/>
      <c r="I768" s="80">
        <v>10373316</v>
      </c>
      <c r="L768" s="80">
        <f t="shared" si="34"/>
        <v>700</v>
      </c>
      <c r="M768" s="80">
        <f t="shared" si="35"/>
        <v>0</v>
      </c>
    </row>
    <row r="769" spans="1:13" ht="126" outlineLevel="5">
      <c r="A769" s="63" t="s">
        <v>661</v>
      </c>
      <c r="B769" s="64" t="s">
        <v>41</v>
      </c>
      <c r="C769" s="64" t="s">
        <v>10</v>
      </c>
      <c r="D769" s="64" t="s">
        <v>2</v>
      </c>
      <c r="E769" s="64" t="s">
        <v>22</v>
      </c>
      <c r="F769" s="65">
        <f>Приложение_6!F78</f>
        <v>10372616</v>
      </c>
      <c r="G769" s="65"/>
      <c r="I769" s="80">
        <v>10373316</v>
      </c>
      <c r="L769" s="80">
        <f t="shared" si="34"/>
        <v>700</v>
      </c>
      <c r="M769" s="80">
        <f t="shared" si="35"/>
        <v>0</v>
      </c>
    </row>
    <row r="770" spans="1:13" ht="47.25" outlineLevel="5">
      <c r="A770" s="36" t="s">
        <v>430</v>
      </c>
      <c r="B770" s="64" t="s">
        <v>891</v>
      </c>
      <c r="C770" s="64" t="s">
        <v>1</v>
      </c>
      <c r="D770" s="64" t="s">
        <v>3</v>
      </c>
      <c r="E770" s="64" t="s">
        <v>3</v>
      </c>
      <c r="F770" s="65">
        <f>F771+F773</f>
        <v>2700</v>
      </c>
      <c r="G770" s="65"/>
      <c r="I770" s="80"/>
      <c r="L770" s="80"/>
      <c r="M770" s="80"/>
    </row>
    <row r="771" spans="1:13" ht="141.75" outlineLevel="5">
      <c r="A771" s="36" t="s">
        <v>704</v>
      </c>
      <c r="B771" s="64" t="s">
        <v>891</v>
      </c>
      <c r="C771" s="64" t="s">
        <v>10</v>
      </c>
      <c r="D771" s="64" t="s">
        <v>3</v>
      </c>
      <c r="E771" s="64" t="s">
        <v>3</v>
      </c>
      <c r="F771" s="65">
        <f>F772</f>
        <v>700</v>
      </c>
      <c r="G771" s="65"/>
      <c r="I771" s="80"/>
      <c r="L771" s="80"/>
      <c r="M771" s="80"/>
    </row>
    <row r="772" spans="1:13" ht="126" outlineLevel="5">
      <c r="A772" s="63" t="s">
        <v>661</v>
      </c>
      <c r="B772" s="64" t="s">
        <v>891</v>
      </c>
      <c r="C772" s="64" t="s">
        <v>10</v>
      </c>
      <c r="D772" s="64" t="s">
        <v>2</v>
      </c>
      <c r="E772" s="64" t="s">
        <v>22</v>
      </c>
      <c r="F772" s="65">
        <f>Приложение_6!F80</f>
        <v>700</v>
      </c>
      <c r="G772" s="65"/>
      <c r="I772" s="80"/>
      <c r="L772" s="80"/>
      <c r="M772" s="80"/>
    </row>
    <row r="773" spans="1:13" ht="63" outlineLevel="5">
      <c r="A773" s="63" t="s">
        <v>689</v>
      </c>
      <c r="B773" s="64" t="s">
        <v>891</v>
      </c>
      <c r="C773" s="64" t="s">
        <v>17</v>
      </c>
      <c r="D773" s="64" t="s">
        <v>3</v>
      </c>
      <c r="E773" s="64" t="s">
        <v>3</v>
      </c>
      <c r="F773" s="65">
        <f>F774</f>
        <v>2000</v>
      </c>
      <c r="G773" s="65"/>
      <c r="I773" s="80"/>
      <c r="L773" s="80"/>
      <c r="M773" s="80"/>
    </row>
    <row r="774" spans="1:13" ht="126" outlineLevel="5">
      <c r="A774" s="63" t="s">
        <v>661</v>
      </c>
      <c r="B774" s="64" t="s">
        <v>891</v>
      </c>
      <c r="C774" s="64" t="s">
        <v>17</v>
      </c>
      <c r="D774" s="64" t="s">
        <v>2</v>
      </c>
      <c r="E774" s="64" t="s">
        <v>22</v>
      </c>
      <c r="F774" s="65">
        <f>Приложение_6!F81</f>
        <v>2000</v>
      </c>
      <c r="G774" s="65"/>
      <c r="I774" s="80"/>
      <c r="L774" s="80"/>
      <c r="M774" s="80"/>
    </row>
    <row r="775" spans="1:13" ht="126" outlineLevel="3">
      <c r="A775" s="63" t="s">
        <v>432</v>
      </c>
      <c r="B775" s="64" t="s">
        <v>42</v>
      </c>
      <c r="C775" s="64" t="s">
        <v>1</v>
      </c>
      <c r="D775" s="64" t="s">
        <v>3</v>
      </c>
      <c r="E775" s="64" t="s">
        <v>3</v>
      </c>
      <c r="F775" s="65">
        <f>F776</f>
        <v>304846</v>
      </c>
      <c r="G775" s="65"/>
      <c r="I775" s="80">
        <v>369846</v>
      </c>
      <c r="L775" s="80">
        <f t="shared" si="34"/>
        <v>65000</v>
      </c>
      <c r="M775" s="80">
        <f t="shared" si="35"/>
        <v>0</v>
      </c>
    </row>
    <row r="776" spans="1:13" ht="141.75" outlineLevel="4">
      <c r="A776" s="63" t="s">
        <v>856</v>
      </c>
      <c r="B776" s="64" t="s">
        <v>42</v>
      </c>
      <c r="C776" s="64" t="s">
        <v>10</v>
      </c>
      <c r="D776" s="64" t="s">
        <v>3</v>
      </c>
      <c r="E776" s="64" t="s">
        <v>3</v>
      </c>
      <c r="F776" s="65">
        <f>F777</f>
        <v>304846</v>
      </c>
      <c r="G776" s="65"/>
      <c r="I776" s="80">
        <v>369846</v>
      </c>
      <c r="L776" s="80">
        <f t="shared" si="34"/>
        <v>65000</v>
      </c>
      <c r="M776" s="80">
        <f t="shared" si="35"/>
        <v>0</v>
      </c>
    </row>
    <row r="777" spans="1:13" ht="126" outlineLevel="5">
      <c r="A777" s="63" t="s">
        <v>661</v>
      </c>
      <c r="B777" s="64" t="s">
        <v>42</v>
      </c>
      <c r="C777" s="64" t="s">
        <v>10</v>
      </c>
      <c r="D777" s="64" t="s">
        <v>2</v>
      </c>
      <c r="E777" s="64" t="s">
        <v>22</v>
      </c>
      <c r="F777" s="65">
        <f>Приложение_6!F83</f>
        <v>304846</v>
      </c>
      <c r="G777" s="65"/>
      <c r="I777" s="80">
        <v>369846</v>
      </c>
      <c r="L777" s="80">
        <f t="shared" si="34"/>
        <v>65000</v>
      </c>
      <c r="M777" s="80">
        <f t="shared" si="35"/>
        <v>0</v>
      </c>
    </row>
    <row r="778" spans="1:13" ht="47.25" outlineLevel="1">
      <c r="A778" s="63" t="s">
        <v>651</v>
      </c>
      <c r="B778" s="64" t="s">
        <v>410</v>
      </c>
      <c r="C778" s="64" t="s">
        <v>1</v>
      </c>
      <c r="D778" s="64" t="s">
        <v>3</v>
      </c>
      <c r="E778" s="64" t="s">
        <v>3</v>
      </c>
      <c r="F778" s="65">
        <f>F779</f>
        <v>11801646.99</v>
      </c>
      <c r="G778" s="65"/>
      <c r="I778" s="80">
        <v>11801646.99</v>
      </c>
      <c r="L778" s="80">
        <f t="shared" si="34"/>
        <v>0</v>
      </c>
      <c r="M778" s="80">
        <f t="shared" si="35"/>
        <v>0</v>
      </c>
    </row>
    <row r="779" spans="1:13" ht="78.75" outlineLevel="2">
      <c r="A779" s="63" t="s">
        <v>608</v>
      </c>
      <c r="B779" s="64" t="s">
        <v>411</v>
      </c>
      <c r="C779" s="64" t="s">
        <v>1</v>
      </c>
      <c r="D779" s="64" t="s">
        <v>3</v>
      </c>
      <c r="E779" s="64" t="s">
        <v>3</v>
      </c>
      <c r="F779" s="65">
        <f>F780</f>
        <v>11801646.99</v>
      </c>
      <c r="G779" s="65"/>
      <c r="I779" s="80">
        <v>11801646.99</v>
      </c>
      <c r="L779" s="80">
        <f t="shared" si="34"/>
        <v>0</v>
      </c>
      <c r="M779" s="80">
        <f t="shared" si="35"/>
        <v>0</v>
      </c>
    </row>
    <row r="780" spans="1:13" ht="31.5" outlineLevel="3">
      <c r="A780" s="63" t="s">
        <v>429</v>
      </c>
      <c r="B780" s="64" t="s">
        <v>412</v>
      </c>
      <c r="C780" s="64" t="s">
        <v>1</v>
      </c>
      <c r="D780" s="64" t="s">
        <v>3</v>
      </c>
      <c r="E780" s="64" t="s">
        <v>3</v>
      </c>
      <c r="F780" s="65">
        <f>F781</f>
        <v>11801646.99</v>
      </c>
      <c r="G780" s="65"/>
      <c r="I780" s="80">
        <v>11801646.99</v>
      </c>
      <c r="L780" s="80">
        <f t="shared" si="34"/>
        <v>0</v>
      </c>
      <c r="M780" s="80">
        <f t="shared" si="35"/>
        <v>0</v>
      </c>
    </row>
    <row r="781" spans="1:13" ht="47.25" outlineLevel="4">
      <c r="A781" s="63" t="s">
        <v>703</v>
      </c>
      <c r="B781" s="64" t="s">
        <v>412</v>
      </c>
      <c r="C781" s="64" t="s">
        <v>413</v>
      </c>
      <c r="D781" s="64" t="s">
        <v>3</v>
      </c>
      <c r="E781" s="64" t="s">
        <v>3</v>
      </c>
      <c r="F781" s="65">
        <f>F782</f>
        <v>11801646.99</v>
      </c>
      <c r="G781" s="65"/>
      <c r="I781" s="80">
        <v>11801646.99</v>
      </c>
      <c r="L781" s="80">
        <f t="shared" si="34"/>
        <v>0</v>
      </c>
      <c r="M781" s="80">
        <f t="shared" si="35"/>
        <v>0</v>
      </c>
    </row>
    <row r="782" spans="1:13" ht="47.25" outlineLevel="5">
      <c r="A782" s="63" t="s">
        <v>687</v>
      </c>
      <c r="B782" s="64" t="s">
        <v>412</v>
      </c>
      <c r="C782" s="64" t="s">
        <v>413</v>
      </c>
      <c r="D782" s="64" t="s">
        <v>66</v>
      </c>
      <c r="E782" s="64" t="s">
        <v>2</v>
      </c>
      <c r="F782" s="65">
        <f>Приложение_6!F970</f>
        <v>11801646.99</v>
      </c>
      <c r="G782" s="65"/>
      <c r="I782" s="80">
        <v>11801646.99</v>
      </c>
      <c r="L782" s="80">
        <f t="shared" si="34"/>
        <v>0</v>
      </c>
      <c r="M782" s="80">
        <f t="shared" si="35"/>
        <v>0</v>
      </c>
    </row>
    <row r="783" spans="1:13" ht="126" outlineLevel="5">
      <c r="A783" s="36" t="s">
        <v>949</v>
      </c>
      <c r="B783" s="64" t="s">
        <v>950</v>
      </c>
      <c r="C783" s="64" t="s">
        <v>1</v>
      </c>
      <c r="D783" s="64" t="s">
        <v>3</v>
      </c>
      <c r="E783" s="64" t="s">
        <v>3</v>
      </c>
      <c r="F783" s="65">
        <f>F784</f>
        <v>425056.14</v>
      </c>
      <c r="G783" s="65"/>
      <c r="I783" s="80"/>
      <c r="L783" s="80"/>
      <c r="M783" s="80"/>
    </row>
    <row r="784" spans="1:13" ht="141.75" outlineLevel="5">
      <c r="A784" s="36" t="s">
        <v>951</v>
      </c>
      <c r="B784" s="37" t="s">
        <v>952</v>
      </c>
      <c r="C784" s="64" t="s">
        <v>1</v>
      </c>
      <c r="D784" s="64" t="s">
        <v>3</v>
      </c>
      <c r="E784" s="64" t="s">
        <v>3</v>
      </c>
      <c r="F784" s="65">
        <f>F785</f>
        <v>425056.14</v>
      </c>
      <c r="G784" s="65"/>
      <c r="I784" s="80"/>
      <c r="L784" s="80"/>
      <c r="M784" s="80"/>
    </row>
    <row r="785" spans="1:13" ht="126" outlineLevel="5">
      <c r="A785" s="36" t="s">
        <v>443</v>
      </c>
      <c r="B785" s="37" t="s">
        <v>953</v>
      </c>
      <c r="C785" s="64" t="s">
        <v>1</v>
      </c>
      <c r="D785" s="64" t="s">
        <v>3</v>
      </c>
      <c r="E785" s="64" t="s">
        <v>3</v>
      </c>
      <c r="F785" s="65">
        <f>F786+F788+F790</f>
        <v>425056.14</v>
      </c>
      <c r="G785" s="65"/>
      <c r="I785" s="80"/>
      <c r="L785" s="80"/>
      <c r="M785" s="80"/>
    </row>
    <row r="786" spans="1:13" ht="141.75" outlineLevel="5">
      <c r="A786" s="36" t="s">
        <v>704</v>
      </c>
      <c r="B786" s="37" t="s">
        <v>953</v>
      </c>
      <c r="C786" s="64" t="s">
        <v>10</v>
      </c>
      <c r="D786" s="64" t="s">
        <v>3</v>
      </c>
      <c r="E786" s="64" t="s">
        <v>3</v>
      </c>
      <c r="F786" s="65">
        <f>F787</f>
        <v>261923.14</v>
      </c>
      <c r="G786" s="65"/>
      <c r="I786" s="80"/>
      <c r="L786" s="80"/>
      <c r="M786" s="80"/>
    </row>
    <row r="787" spans="1:13" ht="31.5" outlineLevel="5">
      <c r="A787" s="63" t="s">
        <v>664</v>
      </c>
      <c r="B787" s="37" t="s">
        <v>953</v>
      </c>
      <c r="C787" s="64" t="s">
        <v>10</v>
      </c>
      <c r="D787" s="64" t="s">
        <v>2</v>
      </c>
      <c r="E787" s="64" t="s">
        <v>66</v>
      </c>
      <c r="F787" s="65">
        <f>Приложение_6!F224</f>
        <v>261923.14</v>
      </c>
      <c r="G787" s="65"/>
      <c r="I787" s="80"/>
      <c r="L787" s="80"/>
      <c r="M787" s="80"/>
    </row>
    <row r="788" spans="1:13" ht="63" outlineLevel="5">
      <c r="A788" s="36" t="s">
        <v>689</v>
      </c>
      <c r="B788" s="37" t="s">
        <v>953</v>
      </c>
      <c r="C788" s="64" t="s">
        <v>17</v>
      </c>
      <c r="D788" s="64" t="s">
        <v>3</v>
      </c>
      <c r="E788" s="64" t="s">
        <v>3</v>
      </c>
      <c r="F788" s="65">
        <f>F789</f>
        <v>159133</v>
      </c>
      <c r="G788" s="65"/>
      <c r="I788" s="80"/>
      <c r="L788" s="80"/>
      <c r="M788" s="80"/>
    </row>
    <row r="789" spans="1:13" ht="31.5" outlineLevel="5">
      <c r="A789" s="63" t="s">
        <v>664</v>
      </c>
      <c r="B789" s="37" t="s">
        <v>953</v>
      </c>
      <c r="C789" s="64" t="s">
        <v>17</v>
      </c>
      <c r="D789" s="64" t="s">
        <v>2</v>
      </c>
      <c r="E789" s="64" t="s">
        <v>66</v>
      </c>
      <c r="F789" s="65">
        <f>Приложение_6!F225</f>
        <v>159133</v>
      </c>
      <c r="G789" s="65"/>
      <c r="I789" s="80"/>
      <c r="L789" s="80"/>
      <c r="M789" s="80"/>
    </row>
    <row r="790" spans="1:13" ht="31.5" outlineLevel="5">
      <c r="A790" s="36" t="s">
        <v>691</v>
      </c>
      <c r="B790" s="37" t="s">
        <v>953</v>
      </c>
      <c r="C790" s="64" t="s">
        <v>65</v>
      </c>
      <c r="D790" s="64" t="s">
        <v>3</v>
      </c>
      <c r="E790" s="64" t="s">
        <v>3</v>
      </c>
      <c r="F790" s="65">
        <f>F791</f>
        <v>4000</v>
      </c>
      <c r="G790" s="65"/>
      <c r="I790" s="80"/>
      <c r="L790" s="80"/>
      <c r="M790" s="80"/>
    </row>
    <row r="791" spans="1:13" ht="31.5" outlineLevel="5">
      <c r="A791" s="63" t="s">
        <v>664</v>
      </c>
      <c r="B791" s="37" t="s">
        <v>953</v>
      </c>
      <c r="C791" s="64" t="s">
        <v>65</v>
      </c>
      <c r="D791" s="64" t="s">
        <v>2</v>
      </c>
      <c r="E791" s="64" t="s">
        <v>66</v>
      </c>
      <c r="F791" s="65">
        <f>Приложение_6!F226</f>
        <v>4000</v>
      </c>
      <c r="G791" s="65"/>
      <c r="I791" s="80"/>
      <c r="L791" s="80"/>
      <c r="M791" s="80"/>
    </row>
    <row r="792" spans="1:13" ht="110.25">
      <c r="A792" s="70" t="s">
        <v>857</v>
      </c>
      <c r="B792" s="71" t="s">
        <v>6</v>
      </c>
      <c r="C792" s="71" t="s">
        <v>1</v>
      </c>
      <c r="D792" s="71" t="s">
        <v>3</v>
      </c>
      <c r="E792" s="71" t="s">
        <v>3</v>
      </c>
      <c r="F792" s="72">
        <f>F793+F845+F874+F882+F892+F924+F959+F985</f>
        <v>152615211.17</v>
      </c>
      <c r="G792" s="72">
        <f>G793</f>
        <v>4943700</v>
      </c>
      <c r="I792" s="80">
        <v>152473640.81</v>
      </c>
      <c r="J792" s="80">
        <v>4404900</v>
      </c>
      <c r="L792" s="80">
        <f t="shared" si="34"/>
        <v>-141570.3599999845</v>
      </c>
      <c r="M792" s="80">
        <f t="shared" si="35"/>
        <v>-538800</v>
      </c>
    </row>
    <row r="793" spans="1:13" ht="63" outlineLevel="1">
      <c r="A793" s="70" t="s">
        <v>612</v>
      </c>
      <c r="B793" s="71" t="s">
        <v>43</v>
      </c>
      <c r="C793" s="71" t="s">
        <v>1</v>
      </c>
      <c r="D793" s="71" t="s">
        <v>3</v>
      </c>
      <c r="E793" s="71" t="s">
        <v>3</v>
      </c>
      <c r="F793" s="72">
        <f>F794+F812+F818+F827+F833+F839</f>
        <v>35345035.25</v>
      </c>
      <c r="G793" s="72">
        <f>G812+G818+G827+G833+G839</f>
        <v>4943700</v>
      </c>
      <c r="I793" s="80">
        <v>34433635.17</v>
      </c>
      <c r="J793" s="80">
        <v>4404900</v>
      </c>
      <c r="L793" s="80">
        <f t="shared" si="34"/>
        <v>-911400.0799999982</v>
      </c>
      <c r="M793" s="80">
        <f t="shared" si="35"/>
        <v>-538800</v>
      </c>
    </row>
    <row r="794" spans="1:13" ht="110.25" outlineLevel="2">
      <c r="A794" s="63" t="s">
        <v>496</v>
      </c>
      <c r="B794" s="64" t="s">
        <v>44</v>
      </c>
      <c r="C794" s="64" t="s">
        <v>1</v>
      </c>
      <c r="D794" s="64" t="s">
        <v>3</v>
      </c>
      <c r="E794" s="64" t="s">
        <v>3</v>
      </c>
      <c r="F794" s="65">
        <f>F795+F798+F803+F806+F809</f>
        <v>30401335.25</v>
      </c>
      <c r="G794" s="65"/>
      <c r="I794" s="80">
        <v>30028735.17</v>
      </c>
      <c r="L794" s="80">
        <f t="shared" si="34"/>
        <v>-372600.0799999982</v>
      </c>
      <c r="M794" s="80">
        <f t="shared" si="35"/>
        <v>0</v>
      </c>
    </row>
    <row r="795" spans="1:13" ht="47.25" outlineLevel="3">
      <c r="A795" s="63" t="s">
        <v>435</v>
      </c>
      <c r="B795" s="64" t="s">
        <v>45</v>
      </c>
      <c r="C795" s="64" t="s">
        <v>1</v>
      </c>
      <c r="D795" s="64" t="s">
        <v>3</v>
      </c>
      <c r="E795" s="64" t="s">
        <v>3</v>
      </c>
      <c r="F795" s="65">
        <f>F796</f>
        <v>2021186.3499999999</v>
      </c>
      <c r="G795" s="65"/>
      <c r="I795" s="80">
        <v>1925844.89</v>
      </c>
      <c r="L795" s="80">
        <f t="shared" si="34"/>
        <v>-95341.45999999996</v>
      </c>
      <c r="M795" s="80">
        <f t="shared" si="35"/>
        <v>0</v>
      </c>
    </row>
    <row r="796" spans="1:13" ht="141.75" outlineLevel="4">
      <c r="A796" s="63" t="s">
        <v>856</v>
      </c>
      <c r="B796" s="64" t="s">
        <v>45</v>
      </c>
      <c r="C796" s="64" t="s">
        <v>10</v>
      </c>
      <c r="D796" s="64" t="s">
        <v>3</v>
      </c>
      <c r="E796" s="64" t="s">
        <v>3</v>
      </c>
      <c r="F796" s="65">
        <f>F797</f>
        <v>2021186.3499999999</v>
      </c>
      <c r="G796" s="65"/>
      <c r="I796" s="80">
        <v>1925844.89</v>
      </c>
      <c r="L796" s="80">
        <f t="shared" si="34"/>
        <v>-95341.45999999996</v>
      </c>
      <c r="M796" s="80">
        <f t="shared" si="35"/>
        <v>0</v>
      </c>
    </row>
    <row r="797" spans="1:13" ht="126" outlineLevel="5">
      <c r="A797" s="63" t="s">
        <v>661</v>
      </c>
      <c r="B797" s="64" t="s">
        <v>45</v>
      </c>
      <c r="C797" s="64" t="s">
        <v>10</v>
      </c>
      <c r="D797" s="64" t="s">
        <v>2</v>
      </c>
      <c r="E797" s="64" t="s">
        <v>22</v>
      </c>
      <c r="F797" s="65">
        <f>Приложение_6!F88</f>
        <v>2021186.3499999999</v>
      </c>
      <c r="G797" s="65"/>
      <c r="I797" s="80">
        <v>1925844.89</v>
      </c>
      <c r="L797" s="80">
        <f t="shared" si="34"/>
        <v>-95341.45999999996</v>
      </c>
      <c r="M797" s="80">
        <f t="shared" si="35"/>
        <v>0</v>
      </c>
    </row>
    <row r="798" spans="1:13" ht="63" outlineLevel="3">
      <c r="A798" s="63" t="s">
        <v>434</v>
      </c>
      <c r="B798" s="64" t="s">
        <v>46</v>
      </c>
      <c r="C798" s="64" t="s">
        <v>1</v>
      </c>
      <c r="D798" s="64" t="s">
        <v>3</v>
      </c>
      <c r="E798" s="64" t="s">
        <v>3</v>
      </c>
      <c r="F798" s="65">
        <f>F799+F801</f>
        <v>27412766.389999997</v>
      </c>
      <c r="G798" s="65"/>
      <c r="I798" s="80">
        <v>27210507.77</v>
      </c>
      <c r="L798" s="80">
        <f t="shared" si="34"/>
        <v>-202258.61999999732</v>
      </c>
      <c r="M798" s="80">
        <f t="shared" si="35"/>
        <v>0</v>
      </c>
    </row>
    <row r="799" spans="1:13" ht="141.75" outlineLevel="4">
      <c r="A799" s="63" t="s">
        <v>856</v>
      </c>
      <c r="B799" s="64" t="s">
        <v>46</v>
      </c>
      <c r="C799" s="64" t="s">
        <v>10</v>
      </c>
      <c r="D799" s="64" t="s">
        <v>3</v>
      </c>
      <c r="E799" s="64" t="s">
        <v>3</v>
      </c>
      <c r="F799" s="65">
        <f>F800</f>
        <v>27292647.929999996</v>
      </c>
      <c r="G799" s="65"/>
      <c r="I799" s="80">
        <v>27090389.31</v>
      </c>
      <c r="L799" s="80">
        <f t="shared" si="34"/>
        <v>-202258.61999999732</v>
      </c>
      <c r="M799" s="80">
        <f t="shared" si="35"/>
        <v>0</v>
      </c>
    </row>
    <row r="800" spans="1:13" ht="126" outlineLevel="5">
      <c r="A800" s="63" t="s">
        <v>661</v>
      </c>
      <c r="B800" s="64" t="s">
        <v>46</v>
      </c>
      <c r="C800" s="64" t="s">
        <v>10</v>
      </c>
      <c r="D800" s="64" t="s">
        <v>2</v>
      </c>
      <c r="E800" s="64" t="s">
        <v>22</v>
      </c>
      <c r="F800" s="65">
        <f>Приложение_6!F90</f>
        <v>27292647.929999996</v>
      </c>
      <c r="G800" s="65"/>
      <c r="I800" s="80">
        <v>27090389.31</v>
      </c>
      <c r="L800" s="80">
        <f t="shared" si="34"/>
        <v>-202258.61999999732</v>
      </c>
      <c r="M800" s="80">
        <f t="shared" si="35"/>
        <v>0</v>
      </c>
    </row>
    <row r="801" spans="1:13" ht="31.5" outlineLevel="4">
      <c r="A801" s="63" t="s">
        <v>690</v>
      </c>
      <c r="B801" s="64" t="s">
        <v>46</v>
      </c>
      <c r="C801" s="64" t="s">
        <v>47</v>
      </c>
      <c r="D801" s="64" t="s">
        <v>3</v>
      </c>
      <c r="E801" s="64" t="s">
        <v>3</v>
      </c>
      <c r="F801" s="65">
        <v>120118.46</v>
      </c>
      <c r="G801" s="65"/>
      <c r="I801" s="80">
        <v>120118.46</v>
      </c>
      <c r="L801" s="80">
        <f t="shared" si="34"/>
        <v>0</v>
      </c>
      <c r="M801" s="80">
        <f t="shared" si="35"/>
        <v>0</v>
      </c>
    </row>
    <row r="802" spans="1:13" ht="126" outlineLevel="5">
      <c r="A802" s="63" t="s">
        <v>661</v>
      </c>
      <c r="B802" s="64" t="s">
        <v>46</v>
      </c>
      <c r="C802" s="64" t="s">
        <v>47</v>
      </c>
      <c r="D802" s="64" t="s">
        <v>2</v>
      </c>
      <c r="E802" s="64" t="s">
        <v>22</v>
      </c>
      <c r="F802" s="65">
        <f>Приложение_6!F91</f>
        <v>120118.46</v>
      </c>
      <c r="G802" s="65"/>
      <c r="I802" s="80">
        <v>120118.46</v>
      </c>
      <c r="L802" s="80">
        <f t="shared" si="34"/>
        <v>0</v>
      </c>
      <c r="M802" s="80">
        <f t="shared" si="35"/>
        <v>0</v>
      </c>
    </row>
    <row r="803" spans="1:13" ht="47.25" outlineLevel="3">
      <c r="A803" s="63" t="s">
        <v>430</v>
      </c>
      <c r="B803" s="64" t="s">
        <v>48</v>
      </c>
      <c r="C803" s="64" t="s">
        <v>1</v>
      </c>
      <c r="D803" s="64" t="s">
        <v>3</v>
      </c>
      <c r="E803" s="64" t="s">
        <v>3</v>
      </c>
      <c r="F803" s="65">
        <f>F804</f>
        <v>3360</v>
      </c>
      <c r="G803" s="65"/>
      <c r="I803" s="80">
        <v>3360</v>
      </c>
      <c r="L803" s="80">
        <f t="shared" si="34"/>
        <v>0</v>
      </c>
      <c r="M803" s="80">
        <f t="shared" si="35"/>
        <v>0</v>
      </c>
    </row>
    <row r="804" spans="1:13" ht="141.75" outlineLevel="4">
      <c r="A804" s="63" t="s">
        <v>856</v>
      </c>
      <c r="B804" s="64" t="s">
        <v>48</v>
      </c>
      <c r="C804" s="64" t="s">
        <v>10</v>
      </c>
      <c r="D804" s="64" t="s">
        <v>3</v>
      </c>
      <c r="E804" s="64" t="s">
        <v>3</v>
      </c>
      <c r="F804" s="65">
        <f>F805</f>
        <v>3360</v>
      </c>
      <c r="G804" s="65"/>
      <c r="I804" s="80">
        <v>3360</v>
      </c>
      <c r="L804" s="80">
        <f t="shared" si="34"/>
        <v>0</v>
      </c>
      <c r="M804" s="80">
        <f t="shared" si="35"/>
        <v>0</v>
      </c>
    </row>
    <row r="805" spans="1:13" ht="126" outlineLevel="5">
      <c r="A805" s="63" t="s">
        <v>661</v>
      </c>
      <c r="B805" s="64" t="s">
        <v>48</v>
      </c>
      <c r="C805" s="64" t="s">
        <v>10</v>
      </c>
      <c r="D805" s="64" t="s">
        <v>2</v>
      </c>
      <c r="E805" s="64" t="s">
        <v>22</v>
      </c>
      <c r="F805" s="65">
        <f>Приложение_6!F93</f>
        <v>3360</v>
      </c>
      <c r="G805" s="65"/>
      <c r="I805" s="80">
        <v>3360</v>
      </c>
      <c r="L805" s="80">
        <f t="shared" si="34"/>
        <v>0</v>
      </c>
      <c r="M805" s="80">
        <f t="shared" si="35"/>
        <v>0</v>
      </c>
    </row>
    <row r="806" spans="1:13" ht="78.75" outlineLevel="3">
      <c r="A806" s="63" t="s">
        <v>436</v>
      </c>
      <c r="B806" s="64" t="s">
        <v>49</v>
      </c>
      <c r="C806" s="64" t="s">
        <v>1</v>
      </c>
      <c r="D806" s="64" t="s">
        <v>3</v>
      </c>
      <c r="E806" s="64" t="s">
        <v>3</v>
      </c>
      <c r="F806" s="65">
        <f>F807</f>
        <v>466122.51</v>
      </c>
      <c r="G806" s="65"/>
      <c r="I806" s="80">
        <v>466122.51</v>
      </c>
      <c r="L806" s="80">
        <f t="shared" si="34"/>
        <v>0</v>
      </c>
      <c r="M806" s="80">
        <f t="shared" si="35"/>
        <v>0</v>
      </c>
    </row>
    <row r="807" spans="1:13" ht="141.75" outlineLevel="4">
      <c r="A807" s="63" t="s">
        <v>856</v>
      </c>
      <c r="B807" s="64" t="s">
        <v>49</v>
      </c>
      <c r="C807" s="64" t="s">
        <v>10</v>
      </c>
      <c r="D807" s="64" t="s">
        <v>3</v>
      </c>
      <c r="E807" s="64" t="s">
        <v>3</v>
      </c>
      <c r="F807" s="65">
        <f>F808</f>
        <v>466122.51</v>
      </c>
      <c r="G807" s="65"/>
      <c r="I807" s="80">
        <v>466122.51</v>
      </c>
      <c r="L807" s="80">
        <f t="shared" si="34"/>
        <v>0</v>
      </c>
      <c r="M807" s="80">
        <f t="shared" si="35"/>
        <v>0</v>
      </c>
    </row>
    <row r="808" spans="1:13" ht="126" outlineLevel="5">
      <c r="A808" s="63" t="s">
        <v>661</v>
      </c>
      <c r="B808" s="64" t="s">
        <v>49</v>
      </c>
      <c r="C808" s="64" t="s">
        <v>10</v>
      </c>
      <c r="D808" s="64" t="s">
        <v>2</v>
      </c>
      <c r="E808" s="64" t="s">
        <v>22</v>
      </c>
      <c r="F808" s="65">
        <f>Приложение_6!F95</f>
        <v>466122.51</v>
      </c>
      <c r="G808" s="65"/>
      <c r="I808" s="80">
        <v>466122.51</v>
      </c>
      <c r="L808" s="80">
        <f t="shared" si="34"/>
        <v>0</v>
      </c>
      <c r="M808" s="80">
        <f t="shared" si="35"/>
        <v>0</v>
      </c>
    </row>
    <row r="809" spans="1:13" ht="126" outlineLevel="3">
      <c r="A809" s="63" t="s">
        <v>432</v>
      </c>
      <c r="B809" s="64" t="s">
        <v>50</v>
      </c>
      <c r="C809" s="64" t="s">
        <v>1</v>
      </c>
      <c r="D809" s="64" t="s">
        <v>3</v>
      </c>
      <c r="E809" s="64" t="s">
        <v>3</v>
      </c>
      <c r="F809" s="65">
        <f>F810</f>
        <v>497900</v>
      </c>
      <c r="G809" s="65"/>
      <c r="I809" s="80">
        <v>422900</v>
      </c>
      <c r="L809" s="80">
        <f t="shared" si="34"/>
        <v>-75000</v>
      </c>
      <c r="M809" s="80">
        <f t="shared" si="35"/>
        <v>0</v>
      </c>
    </row>
    <row r="810" spans="1:13" ht="141.75" outlineLevel="4">
      <c r="A810" s="63" t="s">
        <v>856</v>
      </c>
      <c r="B810" s="64" t="s">
        <v>50</v>
      </c>
      <c r="C810" s="64" t="s">
        <v>10</v>
      </c>
      <c r="D810" s="64" t="s">
        <v>3</v>
      </c>
      <c r="E810" s="64" t="s">
        <v>3</v>
      </c>
      <c r="F810" s="65">
        <f>F811</f>
        <v>497900</v>
      </c>
      <c r="G810" s="65"/>
      <c r="I810" s="80">
        <v>422900</v>
      </c>
      <c r="L810" s="80">
        <f t="shared" si="34"/>
        <v>-75000</v>
      </c>
      <c r="M810" s="80">
        <f t="shared" si="35"/>
        <v>0</v>
      </c>
    </row>
    <row r="811" spans="1:13" ht="126" outlineLevel="5">
      <c r="A811" s="63" t="s">
        <v>661</v>
      </c>
      <c r="B811" s="64" t="s">
        <v>50</v>
      </c>
      <c r="C811" s="64" t="s">
        <v>10</v>
      </c>
      <c r="D811" s="64" t="s">
        <v>2</v>
      </c>
      <c r="E811" s="64" t="s">
        <v>22</v>
      </c>
      <c r="F811" s="65">
        <f>Приложение_6!F97</f>
        <v>497900</v>
      </c>
      <c r="G811" s="65"/>
      <c r="I811" s="80">
        <v>422900</v>
      </c>
      <c r="L811" s="80">
        <f t="shared" si="34"/>
        <v>-75000</v>
      </c>
      <c r="M811" s="80">
        <f t="shared" si="35"/>
        <v>0</v>
      </c>
    </row>
    <row r="812" spans="1:13" ht="63" outlineLevel="2">
      <c r="A812" s="63" t="s">
        <v>525</v>
      </c>
      <c r="B812" s="64" t="s">
        <v>144</v>
      </c>
      <c r="C812" s="64" t="s">
        <v>1</v>
      </c>
      <c r="D812" s="64" t="s">
        <v>3</v>
      </c>
      <c r="E812" s="64" t="s">
        <v>3</v>
      </c>
      <c r="F812" s="65">
        <f>F813</f>
        <v>2669800</v>
      </c>
      <c r="G812" s="65">
        <f>G813</f>
        <v>2669800</v>
      </c>
      <c r="I812" s="80">
        <v>2131000</v>
      </c>
      <c r="J812" s="80">
        <v>2131000</v>
      </c>
      <c r="L812" s="80">
        <f t="shared" si="34"/>
        <v>-538800</v>
      </c>
      <c r="M812" s="80">
        <f t="shared" si="35"/>
        <v>-538800</v>
      </c>
    </row>
    <row r="813" spans="1:13" ht="204.75" outlineLevel="3">
      <c r="A813" s="63" t="s">
        <v>449</v>
      </c>
      <c r="B813" s="64" t="s">
        <v>145</v>
      </c>
      <c r="C813" s="64" t="s">
        <v>1</v>
      </c>
      <c r="D813" s="64" t="s">
        <v>3</v>
      </c>
      <c r="E813" s="64" t="s">
        <v>3</v>
      </c>
      <c r="F813" s="65">
        <f>F814+F816</f>
        <v>2669800</v>
      </c>
      <c r="G813" s="65">
        <f>G814+G816</f>
        <v>2669800</v>
      </c>
      <c r="I813" s="80">
        <v>2131000</v>
      </c>
      <c r="J813" s="80">
        <v>2131000</v>
      </c>
      <c r="L813" s="80">
        <f t="shared" si="34"/>
        <v>-538800</v>
      </c>
      <c r="M813" s="80">
        <f t="shared" si="35"/>
        <v>-538800</v>
      </c>
    </row>
    <row r="814" spans="1:13" ht="141.75" outlineLevel="4">
      <c r="A814" s="63" t="s">
        <v>856</v>
      </c>
      <c r="B814" s="64" t="s">
        <v>145</v>
      </c>
      <c r="C814" s="64" t="s">
        <v>10</v>
      </c>
      <c r="D814" s="64" t="s">
        <v>3</v>
      </c>
      <c r="E814" s="64" t="s">
        <v>3</v>
      </c>
      <c r="F814" s="65">
        <f>F815</f>
        <v>2041170.8699999999</v>
      </c>
      <c r="G814" s="65">
        <f>G815</f>
        <v>2041170.8699999999</v>
      </c>
      <c r="I814" s="80">
        <v>1772478.95</v>
      </c>
      <c r="J814" s="80">
        <v>1772478.95</v>
      </c>
      <c r="L814" s="80">
        <f t="shared" si="34"/>
        <v>-268691.9199999999</v>
      </c>
      <c r="M814" s="80">
        <f t="shared" si="35"/>
        <v>-268691.9199999999</v>
      </c>
    </row>
    <row r="815" spans="1:13" ht="15.75" outlineLevel="5">
      <c r="A815" s="63" t="s">
        <v>665</v>
      </c>
      <c r="B815" s="64" t="s">
        <v>145</v>
      </c>
      <c r="C815" s="64" t="s">
        <v>10</v>
      </c>
      <c r="D815" s="64" t="s">
        <v>14</v>
      </c>
      <c r="E815" s="64" t="s">
        <v>22</v>
      </c>
      <c r="F815" s="65">
        <f>Приложение_6!F309</f>
        <v>2041170.8699999999</v>
      </c>
      <c r="G815" s="65">
        <f>F815</f>
        <v>2041170.8699999999</v>
      </c>
      <c r="I815" s="80">
        <v>1772478.95</v>
      </c>
      <c r="J815" s="80">
        <v>1772478.95</v>
      </c>
      <c r="L815" s="80">
        <f t="shared" si="34"/>
        <v>-268691.9199999999</v>
      </c>
      <c r="M815" s="80">
        <f t="shared" si="35"/>
        <v>-268691.9199999999</v>
      </c>
    </row>
    <row r="816" spans="1:13" ht="63" outlineLevel="4">
      <c r="A816" s="63" t="s">
        <v>689</v>
      </c>
      <c r="B816" s="64" t="s">
        <v>145</v>
      </c>
      <c r="C816" s="64" t="s">
        <v>17</v>
      </c>
      <c r="D816" s="64" t="s">
        <v>3</v>
      </c>
      <c r="E816" s="64" t="s">
        <v>3</v>
      </c>
      <c r="F816" s="65">
        <f>F817</f>
        <v>628629.1300000001</v>
      </c>
      <c r="G816" s="65">
        <f>G817</f>
        <v>628629.1300000001</v>
      </c>
      <c r="I816" s="80">
        <v>358521.05</v>
      </c>
      <c r="J816" s="80">
        <v>358521.05</v>
      </c>
      <c r="L816" s="80">
        <f t="shared" si="34"/>
        <v>-270108.08000000013</v>
      </c>
      <c r="M816" s="80">
        <f t="shared" si="35"/>
        <v>-270108.08000000013</v>
      </c>
    </row>
    <row r="817" spans="1:13" ht="15.75" outlineLevel="5">
      <c r="A817" s="63" t="s">
        <v>665</v>
      </c>
      <c r="B817" s="64" t="s">
        <v>145</v>
      </c>
      <c r="C817" s="64" t="s">
        <v>17</v>
      </c>
      <c r="D817" s="64" t="s">
        <v>14</v>
      </c>
      <c r="E817" s="64" t="s">
        <v>22</v>
      </c>
      <c r="F817" s="65">
        <f>Приложение_6!F310</f>
        <v>628629.1300000001</v>
      </c>
      <c r="G817" s="65">
        <f>F817</f>
        <v>628629.1300000001</v>
      </c>
      <c r="I817" s="80">
        <v>358521.05</v>
      </c>
      <c r="J817" s="80">
        <v>358521.05</v>
      </c>
      <c r="L817" s="80">
        <f t="shared" si="34"/>
        <v>-270108.08000000013</v>
      </c>
      <c r="M817" s="80">
        <f t="shared" si="35"/>
        <v>-270108.08000000013</v>
      </c>
    </row>
    <row r="818" spans="1:13" ht="63" outlineLevel="2">
      <c r="A818" s="63" t="s">
        <v>514</v>
      </c>
      <c r="B818" s="64" t="s">
        <v>110</v>
      </c>
      <c r="C818" s="64" t="s">
        <v>1</v>
      </c>
      <c r="D818" s="64" t="s">
        <v>3</v>
      </c>
      <c r="E818" s="64" t="s">
        <v>3</v>
      </c>
      <c r="F818" s="65">
        <f>F819++F822</f>
        <v>771000</v>
      </c>
      <c r="G818" s="65">
        <f>G819++G822</f>
        <v>771000</v>
      </c>
      <c r="I818" s="80">
        <v>771000</v>
      </c>
      <c r="J818" s="80">
        <v>771000</v>
      </c>
      <c r="L818" s="80">
        <f t="shared" si="34"/>
        <v>0</v>
      </c>
      <c r="M818" s="80">
        <f t="shared" si="35"/>
        <v>0</v>
      </c>
    </row>
    <row r="819" spans="1:13" ht="236.25" outlineLevel="3">
      <c r="A819" s="63" t="s">
        <v>444</v>
      </c>
      <c r="B819" s="64" t="s">
        <v>111</v>
      </c>
      <c r="C819" s="64" t="s">
        <v>1</v>
      </c>
      <c r="D819" s="64" t="s">
        <v>3</v>
      </c>
      <c r="E819" s="64" t="s">
        <v>3</v>
      </c>
      <c r="F819" s="65">
        <f>F820</f>
        <v>6000</v>
      </c>
      <c r="G819" s="65">
        <f>G820</f>
        <v>6000</v>
      </c>
      <c r="I819" s="80">
        <v>6000</v>
      </c>
      <c r="J819" s="80">
        <v>6000</v>
      </c>
      <c r="L819" s="80">
        <f t="shared" si="34"/>
        <v>0</v>
      </c>
      <c r="M819" s="80">
        <f t="shared" si="35"/>
        <v>0</v>
      </c>
    </row>
    <row r="820" spans="1:13" ht="63" outlineLevel="4">
      <c r="A820" s="63" t="s">
        <v>689</v>
      </c>
      <c r="B820" s="64" t="s">
        <v>111</v>
      </c>
      <c r="C820" s="64" t="s">
        <v>17</v>
      </c>
      <c r="D820" s="64" t="s">
        <v>3</v>
      </c>
      <c r="E820" s="64" t="s">
        <v>3</v>
      </c>
      <c r="F820" s="65">
        <f>F821</f>
        <v>6000</v>
      </c>
      <c r="G820" s="65">
        <f>G821</f>
        <v>6000</v>
      </c>
      <c r="I820" s="80">
        <v>6000</v>
      </c>
      <c r="J820" s="80">
        <v>6000</v>
      </c>
      <c r="L820" s="80">
        <f t="shared" si="34"/>
        <v>0</v>
      </c>
      <c r="M820" s="80">
        <f t="shared" si="35"/>
        <v>0</v>
      </c>
    </row>
    <row r="821" spans="1:13" ht="31.5" outlineLevel="5">
      <c r="A821" s="63" t="s">
        <v>664</v>
      </c>
      <c r="B821" s="64" t="s">
        <v>111</v>
      </c>
      <c r="C821" s="64" t="s">
        <v>17</v>
      </c>
      <c r="D821" s="64" t="s">
        <v>2</v>
      </c>
      <c r="E821" s="64" t="s">
        <v>66</v>
      </c>
      <c r="F821" s="65">
        <f>Приложение_6!F231</f>
        <v>6000</v>
      </c>
      <c r="G821" s="65">
        <f>F821</f>
        <v>6000</v>
      </c>
      <c r="I821" s="80">
        <v>6000</v>
      </c>
      <c r="J821" s="80">
        <v>6000</v>
      </c>
      <c r="L821" s="80">
        <f t="shared" si="34"/>
        <v>0</v>
      </c>
      <c r="M821" s="80">
        <f t="shared" si="35"/>
        <v>0</v>
      </c>
    </row>
    <row r="822" spans="1:13" ht="63" outlineLevel="3">
      <c r="A822" s="63" t="s">
        <v>445</v>
      </c>
      <c r="B822" s="64" t="s">
        <v>112</v>
      </c>
      <c r="C822" s="64" t="s">
        <v>1</v>
      </c>
      <c r="D822" s="64" t="s">
        <v>3</v>
      </c>
      <c r="E822" s="64" t="s">
        <v>3</v>
      </c>
      <c r="F822" s="65">
        <f>F823+F825</f>
        <v>765000</v>
      </c>
      <c r="G822" s="65">
        <f>G823+G825</f>
        <v>765000</v>
      </c>
      <c r="I822" s="80">
        <v>765000</v>
      </c>
      <c r="J822" s="80">
        <v>765000</v>
      </c>
      <c r="L822" s="80">
        <f t="shared" si="34"/>
        <v>0</v>
      </c>
      <c r="M822" s="80">
        <f t="shared" si="35"/>
        <v>0</v>
      </c>
    </row>
    <row r="823" spans="1:13" ht="141.75" outlineLevel="4">
      <c r="A823" s="63" t="s">
        <v>856</v>
      </c>
      <c r="B823" s="64" t="s">
        <v>112</v>
      </c>
      <c r="C823" s="64" t="s">
        <v>10</v>
      </c>
      <c r="D823" s="64" t="s">
        <v>3</v>
      </c>
      <c r="E823" s="64" t="s">
        <v>3</v>
      </c>
      <c r="F823" s="65">
        <f>F824</f>
        <v>698220.45</v>
      </c>
      <c r="G823" s="65">
        <f>G824</f>
        <v>698220.45</v>
      </c>
      <c r="I823" s="80">
        <v>698220.45</v>
      </c>
      <c r="J823" s="80">
        <v>698220.45</v>
      </c>
      <c r="L823" s="80">
        <f t="shared" si="34"/>
        <v>0</v>
      </c>
      <c r="M823" s="80">
        <f t="shared" si="35"/>
        <v>0</v>
      </c>
    </row>
    <row r="824" spans="1:13" ht="31.5" outlineLevel="5">
      <c r="A824" s="63" t="s">
        <v>664</v>
      </c>
      <c r="B824" s="64" t="s">
        <v>112</v>
      </c>
      <c r="C824" s="64" t="s">
        <v>10</v>
      </c>
      <c r="D824" s="64" t="s">
        <v>2</v>
      </c>
      <c r="E824" s="64" t="s">
        <v>66</v>
      </c>
      <c r="F824" s="65">
        <f>Приложение_6!F233</f>
        <v>698220.45</v>
      </c>
      <c r="G824" s="65">
        <f>F824</f>
        <v>698220.45</v>
      </c>
      <c r="I824" s="80">
        <v>698220.45</v>
      </c>
      <c r="J824" s="80">
        <v>698220.45</v>
      </c>
      <c r="L824" s="80">
        <f t="shared" si="34"/>
        <v>0</v>
      </c>
      <c r="M824" s="80">
        <f t="shared" si="35"/>
        <v>0</v>
      </c>
    </row>
    <row r="825" spans="1:13" ht="63" outlineLevel="4">
      <c r="A825" s="63" t="s">
        <v>689</v>
      </c>
      <c r="B825" s="64" t="s">
        <v>112</v>
      </c>
      <c r="C825" s="64" t="s">
        <v>17</v>
      </c>
      <c r="D825" s="64" t="s">
        <v>3</v>
      </c>
      <c r="E825" s="64" t="s">
        <v>3</v>
      </c>
      <c r="F825" s="65">
        <f>F826</f>
        <v>66779.55</v>
      </c>
      <c r="G825" s="65">
        <f>G826</f>
        <v>66779.55</v>
      </c>
      <c r="I825" s="80">
        <v>66779.55</v>
      </c>
      <c r="J825" s="80">
        <v>66779.55</v>
      </c>
      <c r="L825" s="80">
        <f aca="true" t="shared" si="36" ref="L825:L898">I825-F825</f>
        <v>0</v>
      </c>
      <c r="M825" s="80">
        <f aca="true" t="shared" si="37" ref="M825:M898">J825-G825</f>
        <v>0</v>
      </c>
    </row>
    <row r="826" spans="1:13" ht="31.5" outlineLevel="5">
      <c r="A826" s="63" t="s">
        <v>664</v>
      </c>
      <c r="B826" s="64" t="s">
        <v>112</v>
      </c>
      <c r="C826" s="64" t="s">
        <v>17</v>
      </c>
      <c r="D826" s="64" t="s">
        <v>2</v>
      </c>
      <c r="E826" s="64" t="s">
        <v>66</v>
      </c>
      <c r="F826" s="65">
        <f>Приложение_6!F234</f>
        <v>66779.55</v>
      </c>
      <c r="G826" s="65">
        <f>F826</f>
        <v>66779.55</v>
      </c>
      <c r="I826" s="80">
        <v>66779.55</v>
      </c>
      <c r="J826" s="80">
        <v>66779.55</v>
      </c>
      <c r="L826" s="80">
        <f t="shared" si="36"/>
        <v>0</v>
      </c>
      <c r="M826" s="80">
        <f t="shared" si="37"/>
        <v>0</v>
      </c>
    </row>
    <row r="827" spans="1:13" ht="94.5" outlineLevel="2">
      <c r="A827" s="63" t="s">
        <v>603</v>
      </c>
      <c r="B827" s="64" t="s">
        <v>398</v>
      </c>
      <c r="C827" s="64" t="s">
        <v>1</v>
      </c>
      <c r="D827" s="64" t="s">
        <v>3</v>
      </c>
      <c r="E827" s="64" t="s">
        <v>3</v>
      </c>
      <c r="F827" s="65">
        <f>F828</f>
        <v>1321500</v>
      </c>
      <c r="G827" s="65">
        <f>G828</f>
        <v>1321500</v>
      </c>
      <c r="I827" s="80">
        <v>1321500</v>
      </c>
      <c r="J827" s="80">
        <v>1321500</v>
      </c>
      <c r="L827" s="80">
        <f t="shared" si="36"/>
        <v>0</v>
      </c>
      <c r="M827" s="80">
        <f t="shared" si="37"/>
        <v>0</v>
      </c>
    </row>
    <row r="828" spans="1:13" ht="94.5" outlineLevel="3">
      <c r="A828" s="63" t="s">
        <v>484</v>
      </c>
      <c r="B828" s="64" t="s">
        <v>399</v>
      </c>
      <c r="C828" s="64" t="s">
        <v>1</v>
      </c>
      <c r="D828" s="64" t="s">
        <v>3</v>
      </c>
      <c r="E828" s="64" t="s">
        <v>3</v>
      </c>
      <c r="F828" s="65">
        <f>F829+F831</f>
        <v>1321500</v>
      </c>
      <c r="G828" s="65">
        <f>G829+G831</f>
        <v>1321500</v>
      </c>
      <c r="I828" s="80">
        <v>1321500</v>
      </c>
      <c r="J828" s="80">
        <v>1321500</v>
      </c>
      <c r="L828" s="80">
        <f t="shared" si="36"/>
        <v>0</v>
      </c>
      <c r="M828" s="80">
        <f t="shared" si="37"/>
        <v>0</v>
      </c>
    </row>
    <row r="829" spans="1:13" ht="141.75" outlineLevel="4">
      <c r="A829" s="63" t="s">
        <v>856</v>
      </c>
      <c r="B829" s="64" t="s">
        <v>399</v>
      </c>
      <c r="C829" s="64" t="s">
        <v>10</v>
      </c>
      <c r="D829" s="64" t="s">
        <v>3</v>
      </c>
      <c r="E829" s="64" t="s">
        <v>3</v>
      </c>
      <c r="F829" s="65">
        <f>F830</f>
        <v>1226435.65</v>
      </c>
      <c r="G829" s="65">
        <f>G830</f>
        <v>1226435.65</v>
      </c>
      <c r="I829" s="80">
        <v>1185628.17</v>
      </c>
      <c r="J829" s="80">
        <v>1185628.17</v>
      </c>
      <c r="L829" s="80">
        <f t="shared" si="36"/>
        <v>-40807.47999999998</v>
      </c>
      <c r="M829" s="80">
        <f t="shared" si="37"/>
        <v>-40807.47999999998</v>
      </c>
    </row>
    <row r="830" spans="1:13" ht="15.75" outlineLevel="5">
      <c r="A830" s="63" t="s">
        <v>684</v>
      </c>
      <c r="B830" s="64" t="s">
        <v>399</v>
      </c>
      <c r="C830" s="64" t="s">
        <v>10</v>
      </c>
      <c r="D830" s="64" t="s">
        <v>187</v>
      </c>
      <c r="E830" s="64" t="s">
        <v>22</v>
      </c>
      <c r="F830" s="65">
        <f>Приложение_6!F939</f>
        <v>1226435.65</v>
      </c>
      <c r="G830" s="65">
        <f>F830</f>
        <v>1226435.65</v>
      </c>
      <c r="I830" s="80">
        <v>1185628.17</v>
      </c>
      <c r="J830" s="80">
        <v>1185628.17</v>
      </c>
      <c r="L830" s="80">
        <f t="shared" si="36"/>
        <v>-40807.47999999998</v>
      </c>
      <c r="M830" s="80">
        <f t="shared" si="37"/>
        <v>-40807.47999999998</v>
      </c>
    </row>
    <row r="831" spans="1:13" ht="63" outlineLevel="4">
      <c r="A831" s="63" t="s">
        <v>689</v>
      </c>
      <c r="B831" s="64" t="s">
        <v>399</v>
      </c>
      <c r="C831" s="64" t="s">
        <v>17</v>
      </c>
      <c r="D831" s="64" t="s">
        <v>3</v>
      </c>
      <c r="E831" s="64" t="s">
        <v>3</v>
      </c>
      <c r="F831" s="65">
        <f>F832</f>
        <v>95064.34999999999</v>
      </c>
      <c r="G831" s="65">
        <f>G832</f>
        <v>95064.34999999999</v>
      </c>
      <c r="I831" s="80">
        <v>135871.83</v>
      </c>
      <c r="J831" s="80">
        <v>135871.83</v>
      </c>
      <c r="L831" s="80">
        <f t="shared" si="36"/>
        <v>40807.479999999996</v>
      </c>
      <c r="M831" s="80">
        <f t="shared" si="37"/>
        <v>40807.479999999996</v>
      </c>
    </row>
    <row r="832" spans="1:13" ht="15.75" outlineLevel="5">
      <c r="A832" s="63" t="s">
        <v>684</v>
      </c>
      <c r="B832" s="64" t="s">
        <v>399</v>
      </c>
      <c r="C832" s="64" t="s">
        <v>17</v>
      </c>
      <c r="D832" s="64" t="s">
        <v>187</v>
      </c>
      <c r="E832" s="64" t="s">
        <v>22</v>
      </c>
      <c r="F832" s="65">
        <f>Приложение_6!F940</f>
        <v>95064.34999999999</v>
      </c>
      <c r="G832" s="65">
        <f>F832</f>
        <v>95064.34999999999</v>
      </c>
      <c r="I832" s="80">
        <v>135871.83</v>
      </c>
      <c r="J832" s="80">
        <v>135871.83</v>
      </c>
      <c r="L832" s="80">
        <f t="shared" si="36"/>
        <v>40807.479999999996</v>
      </c>
      <c r="M832" s="80">
        <f t="shared" si="37"/>
        <v>40807.479999999996</v>
      </c>
    </row>
    <row r="833" spans="1:13" ht="189" outlineLevel="2">
      <c r="A833" s="63" t="s">
        <v>604</v>
      </c>
      <c r="B833" s="64" t="s">
        <v>400</v>
      </c>
      <c r="C833" s="64" t="s">
        <v>1</v>
      </c>
      <c r="D833" s="64" t="s">
        <v>3</v>
      </c>
      <c r="E833" s="64" t="s">
        <v>3</v>
      </c>
      <c r="F833" s="65">
        <f>F834</f>
        <v>145200</v>
      </c>
      <c r="G833" s="65">
        <f>G834</f>
        <v>145200</v>
      </c>
      <c r="I833" s="80">
        <v>145200</v>
      </c>
      <c r="J833" s="80">
        <v>145200</v>
      </c>
      <c r="L833" s="80">
        <f t="shared" si="36"/>
        <v>0</v>
      </c>
      <c r="M833" s="80">
        <f t="shared" si="37"/>
        <v>0</v>
      </c>
    </row>
    <row r="834" spans="1:13" ht="189" outlineLevel="3">
      <c r="A834" s="63" t="s">
        <v>485</v>
      </c>
      <c r="B834" s="64" t="s">
        <v>401</v>
      </c>
      <c r="C834" s="64" t="s">
        <v>1</v>
      </c>
      <c r="D834" s="64" t="s">
        <v>3</v>
      </c>
      <c r="E834" s="64" t="s">
        <v>3</v>
      </c>
      <c r="F834" s="65">
        <f>F835+F837</f>
        <v>145200</v>
      </c>
      <c r="G834" s="65">
        <f>G835+G837</f>
        <v>145200</v>
      </c>
      <c r="I834" s="80">
        <v>145200</v>
      </c>
      <c r="J834" s="80">
        <v>145200</v>
      </c>
      <c r="L834" s="80">
        <f t="shared" si="36"/>
        <v>0</v>
      </c>
      <c r="M834" s="80">
        <f t="shared" si="37"/>
        <v>0</v>
      </c>
    </row>
    <row r="835" spans="1:13" ht="141.75" outlineLevel="4">
      <c r="A835" s="63" t="s">
        <v>856</v>
      </c>
      <c r="B835" s="64" t="s">
        <v>401</v>
      </c>
      <c r="C835" s="64" t="s">
        <v>10</v>
      </c>
      <c r="D835" s="64" t="s">
        <v>3</v>
      </c>
      <c r="E835" s="64" t="s">
        <v>3</v>
      </c>
      <c r="F835" s="65">
        <f>F836</f>
        <v>128488.7</v>
      </c>
      <c r="G835" s="65">
        <f>G836</f>
        <v>128488.7</v>
      </c>
      <c r="I835" s="80">
        <v>128488.7</v>
      </c>
      <c r="J835" s="80">
        <v>128488.7</v>
      </c>
      <c r="L835" s="80">
        <f t="shared" si="36"/>
        <v>0</v>
      </c>
      <c r="M835" s="80">
        <f t="shared" si="37"/>
        <v>0</v>
      </c>
    </row>
    <row r="836" spans="1:13" ht="15.75" outlineLevel="5">
      <c r="A836" s="63" t="s">
        <v>684</v>
      </c>
      <c r="B836" s="64" t="s">
        <v>401</v>
      </c>
      <c r="C836" s="64" t="s">
        <v>10</v>
      </c>
      <c r="D836" s="64" t="s">
        <v>187</v>
      </c>
      <c r="E836" s="64" t="s">
        <v>22</v>
      </c>
      <c r="F836" s="65">
        <f>Приложение_6!F943</f>
        <v>128488.7</v>
      </c>
      <c r="G836" s="65">
        <f>F836</f>
        <v>128488.7</v>
      </c>
      <c r="I836" s="80">
        <v>128488.7</v>
      </c>
      <c r="J836" s="80">
        <v>128488.7</v>
      </c>
      <c r="L836" s="80">
        <f t="shared" si="36"/>
        <v>0</v>
      </c>
      <c r="M836" s="80">
        <f t="shared" si="37"/>
        <v>0</v>
      </c>
    </row>
    <row r="837" spans="1:13" ht="63" outlineLevel="4">
      <c r="A837" s="63" t="s">
        <v>689</v>
      </c>
      <c r="B837" s="64" t="s">
        <v>401</v>
      </c>
      <c r="C837" s="64" t="s">
        <v>17</v>
      </c>
      <c r="D837" s="64" t="s">
        <v>3</v>
      </c>
      <c r="E837" s="64" t="s">
        <v>3</v>
      </c>
      <c r="F837" s="65">
        <f>F838</f>
        <v>16711.3</v>
      </c>
      <c r="G837" s="65">
        <f>G838</f>
        <v>16711.3</v>
      </c>
      <c r="I837" s="80">
        <v>16711.3</v>
      </c>
      <c r="J837" s="80">
        <v>16711.3</v>
      </c>
      <c r="L837" s="80">
        <f t="shared" si="36"/>
        <v>0</v>
      </c>
      <c r="M837" s="80">
        <f t="shared" si="37"/>
        <v>0</v>
      </c>
    </row>
    <row r="838" spans="1:13" ht="15.75" outlineLevel="5">
      <c r="A838" s="63" t="s">
        <v>684</v>
      </c>
      <c r="B838" s="64" t="s">
        <v>401</v>
      </c>
      <c r="C838" s="64" t="s">
        <v>17</v>
      </c>
      <c r="D838" s="64" t="s">
        <v>187</v>
      </c>
      <c r="E838" s="64" t="s">
        <v>22</v>
      </c>
      <c r="F838" s="65">
        <f>Приложение_6!F944</f>
        <v>16711.3</v>
      </c>
      <c r="G838" s="65">
        <f>F838</f>
        <v>16711.3</v>
      </c>
      <c r="I838" s="80">
        <v>16711.3</v>
      </c>
      <c r="J838" s="80">
        <v>16711.3</v>
      </c>
      <c r="L838" s="80">
        <f t="shared" si="36"/>
        <v>0</v>
      </c>
      <c r="M838" s="80">
        <f t="shared" si="37"/>
        <v>0</v>
      </c>
    </row>
    <row r="839" spans="1:13" ht="94.5" customHeight="1" outlineLevel="2">
      <c r="A839" s="63" t="s">
        <v>541</v>
      </c>
      <c r="B839" s="64" t="s">
        <v>193</v>
      </c>
      <c r="C839" s="64" t="s">
        <v>1</v>
      </c>
      <c r="D839" s="64" t="s">
        <v>3</v>
      </c>
      <c r="E839" s="64" t="s">
        <v>3</v>
      </c>
      <c r="F839" s="65">
        <f>F840</f>
        <v>36200</v>
      </c>
      <c r="G839" s="65">
        <f>G840</f>
        <v>36200</v>
      </c>
      <c r="I839" s="80">
        <v>36200</v>
      </c>
      <c r="J839" s="80">
        <v>36200</v>
      </c>
      <c r="L839" s="80">
        <f t="shared" si="36"/>
        <v>0</v>
      </c>
      <c r="M839" s="80">
        <f t="shared" si="37"/>
        <v>0</v>
      </c>
    </row>
    <row r="840" spans="1:13" ht="173.25" outlineLevel="3">
      <c r="A840" s="63" t="s">
        <v>457</v>
      </c>
      <c r="B840" s="64" t="s">
        <v>194</v>
      </c>
      <c r="C840" s="64" t="s">
        <v>1</v>
      </c>
      <c r="D840" s="64" t="s">
        <v>3</v>
      </c>
      <c r="E840" s="64" t="s">
        <v>3</v>
      </c>
      <c r="F840" s="65">
        <f>F841+F843</f>
        <v>36200</v>
      </c>
      <c r="G840" s="65">
        <f>G841+G843</f>
        <v>36200</v>
      </c>
      <c r="I840" s="80">
        <v>36200</v>
      </c>
      <c r="J840" s="80">
        <v>36200</v>
      </c>
      <c r="L840" s="80">
        <f t="shared" si="36"/>
        <v>0</v>
      </c>
      <c r="M840" s="80">
        <f t="shared" si="37"/>
        <v>0</v>
      </c>
    </row>
    <row r="841" spans="1:13" ht="141.75" outlineLevel="4">
      <c r="A841" s="63" t="s">
        <v>856</v>
      </c>
      <c r="B841" s="64" t="s">
        <v>194</v>
      </c>
      <c r="C841" s="64" t="s">
        <v>10</v>
      </c>
      <c r="D841" s="64" t="s">
        <v>3</v>
      </c>
      <c r="E841" s="64" t="s">
        <v>3</v>
      </c>
      <c r="F841" s="65">
        <f>F842</f>
        <v>32122.44</v>
      </c>
      <c r="G841" s="65">
        <f>G842</f>
        <v>32122.44</v>
      </c>
      <c r="I841" s="80">
        <v>32122.44</v>
      </c>
      <c r="J841" s="80">
        <v>32122.44</v>
      </c>
      <c r="L841" s="80">
        <f t="shared" si="36"/>
        <v>0</v>
      </c>
      <c r="M841" s="80">
        <f t="shared" si="37"/>
        <v>0</v>
      </c>
    </row>
    <row r="842" spans="1:13" ht="31.5" outlineLevel="5">
      <c r="A842" s="63" t="s">
        <v>671</v>
      </c>
      <c r="B842" s="64" t="s">
        <v>194</v>
      </c>
      <c r="C842" s="64" t="s">
        <v>10</v>
      </c>
      <c r="D842" s="64" t="s">
        <v>22</v>
      </c>
      <c r="E842" s="64" t="s">
        <v>192</v>
      </c>
      <c r="F842" s="65">
        <f>Приложение_6!F426</f>
        <v>32122.44</v>
      </c>
      <c r="G842" s="65">
        <f>F842</f>
        <v>32122.44</v>
      </c>
      <c r="I842" s="80">
        <v>32122.44</v>
      </c>
      <c r="J842" s="80">
        <v>32122.44</v>
      </c>
      <c r="L842" s="80">
        <f t="shared" si="36"/>
        <v>0</v>
      </c>
      <c r="M842" s="80">
        <f t="shared" si="37"/>
        <v>0</v>
      </c>
    </row>
    <row r="843" spans="1:13" ht="63" outlineLevel="4">
      <c r="A843" s="63" t="s">
        <v>689</v>
      </c>
      <c r="B843" s="64" t="s">
        <v>194</v>
      </c>
      <c r="C843" s="64" t="s">
        <v>17</v>
      </c>
      <c r="D843" s="64" t="s">
        <v>3</v>
      </c>
      <c r="E843" s="64" t="s">
        <v>3</v>
      </c>
      <c r="F843" s="65">
        <f>F844</f>
        <v>4077.56</v>
      </c>
      <c r="G843" s="65">
        <f>G844</f>
        <v>4077.56</v>
      </c>
      <c r="I843" s="80">
        <v>4077.56</v>
      </c>
      <c r="J843" s="80">
        <v>4077.56</v>
      </c>
      <c r="L843" s="80">
        <f t="shared" si="36"/>
        <v>0</v>
      </c>
      <c r="M843" s="80">
        <f t="shared" si="37"/>
        <v>0</v>
      </c>
    </row>
    <row r="844" spans="1:13" ht="31.5" outlineLevel="5">
      <c r="A844" s="63" t="s">
        <v>671</v>
      </c>
      <c r="B844" s="64" t="s">
        <v>194</v>
      </c>
      <c r="C844" s="64" t="s">
        <v>17</v>
      </c>
      <c r="D844" s="64" t="s">
        <v>22</v>
      </c>
      <c r="E844" s="64" t="s">
        <v>192</v>
      </c>
      <c r="F844" s="65">
        <f>Приложение_6!F427</f>
        <v>4077.56</v>
      </c>
      <c r="G844" s="65">
        <f>F844</f>
        <v>4077.56</v>
      </c>
      <c r="I844" s="80">
        <v>4077.56</v>
      </c>
      <c r="J844" s="80">
        <v>4077.56</v>
      </c>
      <c r="L844" s="80">
        <f t="shared" si="36"/>
        <v>0</v>
      </c>
      <c r="M844" s="80">
        <f t="shared" si="37"/>
        <v>0</v>
      </c>
    </row>
    <row r="845" spans="1:13" ht="94.5" outlineLevel="1">
      <c r="A845" s="70" t="s">
        <v>613</v>
      </c>
      <c r="B845" s="71" t="s">
        <v>51</v>
      </c>
      <c r="C845" s="71" t="s">
        <v>1</v>
      </c>
      <c r="D845" s="71" t="s">
        <v>3</v>
      </c>
      <c r="E845" s="71" t="s">
        <v>3</v>
      </c>
      <c r="F845" s="72">
        <f>F846+F858+F862+F866+F870</f>
        <v>16543582.299999999</v>
      </c>
      <c r="G845" s="72"/>
      <c r="I845" s="80">
        <v>16600699.86</v>
      </c>
      <c r="L845" s="80">
        <f t="shared" si="36"/>
        <v>57117.56000000052</v>
      </c>
      <c r="M845" s="80">
        <f t="shared" si="37"/>
        <v>0</v>
      </c>
    </row>
    <row r="846" spans="1:13" ht="47.25" outlineLevel="2">
      <c r="A846" s="63" t="s">
        <v>497</v>
      </c>
      <c r="B846" s="64" t="s">
        <v>52</v>
      </c>
      <c r="C846" s="64" t="s">
        <v>1</v>
      </c>
      <c r="D846" s="64" t="s">
        <v>3</v>
      </c>
      <c r="E846" s="64" t="s">
        <v>3</v>
      </c>
      <c r="F846" s="65">
        <f>F847+F850+F855</f>
        <v>12567017.28</v>
      </c>
      <c r="G846" s="65"/>
      <c r="I846" s="80">
        <v>12044134.84</v>
      </c>
      <c r="L846" s="80">
        <f t="shared" si="36"/>
        <v>-522882.4399999995</v>
      </c>
      <c r="M846" s="80">
        <f t="shared" si="37"/>
        <v>0</v>
      </c>
    </row>
    <row r="847" spans="1:13" ht="63" outlineLevel="3">
      <c r="A847" s="63" t="s">
        <v>434</v>
      </c>
      <c r="B847" s="64" t="s">
        <v>53</v>
      </c>
      <c r="C847" s="64" t="s">
        <v>1</v>
      </c>
      <c r="D847" s="64" t="s">
        <v>3</v>
      </c>
      <c r="E847" s="64" t="s">
        <v>3</v>
      </c>
      <c r="F847" s="65">
        <f>F848</f>
        <v>12315527.28</v>
      </c>
      <c r="G847" s="65"/>
      <c r="I847" s="80">
        <v>11794269.84</v>
      </c>
      <c r="L847" s="80">
        <f t="shared" si="36"/>
        <v>-521257.4399999995</v>
      </c>
      <c r="M847" s="80">
        <f t="shared" si="37"/>
        <v>0</v>
      </c>
    </row>
    <row r="848" spans="1:13" ht="141.75" outlineLevel="4">
      <c r="A848" s="63" t="s">
        <v>856</v>
      </c>
      <c r="B848" s="64" t="s">
        <v>53</v>
      </c>
      <c r="C848" s="64" t="s">
        <v>10</v>
      </c>
      <c r="D848" s="64" t="s">
        <v>3</v>
      </c>
      <c r="E848" s="64" t="s">
        <v>3</v>
      </c>
      <c r="F848" s="65">
        <f>F849</f>
        <v>12315527.28</v>
      </c>
      <c r="G848" s="65"/>
      <c r="I848" s="80">
        <v>11794269.84</v>
      </c>
      <c r="L848" s="80">
        <f t="shared" si="36"/>
        <v>-521257.4399999995</v>
      </c>
      <c r="M848" s="80">
        <f t="shared" si="37"/>
        <v>0</v>
      </c>
    </row>
    <row r="849" spans="1:13" ht="126" outlineLevel="5">
      <c r="A849" s="63" t="s">
        <v>661</v>
      </c>
      <c r="B849" s="64" t="s">
        <v>53</v>
      </c>
      <c r="C849" s="64" t="s">
        <v>10</v>
      </c>
      <c r="D849" s="64" t="s">
        <v>2</v>
      </c>
      <c r="E849" s="64" t="s">
        <v>22</v>
      </c>
      <c r="F849" s="65">
        <f>Приложение_6!F101</f>
        <v>12315527.28</v>
      </c>
      <c r="G849" s="65"/>
      <c r="I849" s="80">
        <v>11794269.84</v>
      </c>
      <c r="L849" s="80">
        <f t="shared" si="36"/>
        <v>-521257.4399999995</v>
      </c>
      <c r="M849" s="80">
        <f t="shared" si="37"/>
        <v>0</v>
      </c>
    </row>
    <row r="850" spans="1:13" ht="47.25" outlineLevel="3">
      <c r="A850" s="63" t="s">
        <v>430</v>
      </c>
      <c r="B850" s="64" t="s">
        <v>54</v>
      </c>
      <c r="C850" s="64" t="s">
        <v>1</v>
      </c>
      <c r="D850" s="64" t="s">
        <v>3</v>
      </c>
      <c r="E850" s="64" t="s">
        <v>3</v>
      </c>
      <c r="F850" s="65">
        <f>F851+F853</f>
        <v>2525</v>
      </c>
      <c r="G850" s="65"/>
      <c r="I850" s="76">
        <v>900</v>
      </c>
      <c r="L850" s="80">
        <f t="shared" si="36"/>
        <v>-1625</v>
      </c>
      <c r="M850" s="80">
        <f t="shared" si="37"/>
        <v>0</v>
      </c>
    </row>
    <row r="851" spans="1:13" ht="141.75" outlineLevel="4">
      <c r="A851" s="63" t="s">
        <v>856</v>
      </c>
      <c r="B851" s="64" t="s">
        <v>54</v>
      </c>
      <c r="C851" s="64" t="s">
        <v>10</v>
      </c>
      <c r="D851" s="64" t="s">
        <v>3</v>
      </c>
      <c r="E851" s="64" t="s">
        <v>3</v>
      </c>
      <c r="F851" s="65">
        <f>F852</f>
        <v>525</v>
      </c>
      <c r="G851" s="65"/>
      <c r="I851" s="76">
        <v>900</v>
      </c>
      <c r="L851" s="80">
        <f t="shared" si="36"/>
        <v>375</v>
      </c>
      <c r="M851" s="80">
        <f t="shared" si="37"/>
        <v>0</v>
      </c>
    </row>
    <row r="852" spans="1:13" ht="126" outlineLevel="5">
      <c r="A852" s="63" t="s">
        <v>661</v>
      </c>
      <c r="B852" s="64" t="s">
        <v>54</v>
      </c>
      <c r="C852" s="64" t="s">
        <v>10</v>
      </c>
      <c r="D852" s="64" t="s">
        <v>2</v>
      </c>
      <c r="E852" s="64" t="s">
        <v>22</v>
      </c>
      <c r="F852" s="65">
        <f>Приложение_6!F103</f>
        <v>525</v>
      </c>
      <c r="G852" s="65"/>
      <c r="I852" s="76">
        <v>900</v>
      </c>
      <c r="L852" s="80">
        <f t="shared" si="36"/>
        <v>375</v>
      </c>
      <c r="M852" s="80">
        <f t="shared" si="37"/>
        <v>0</v>
      </c>
    </row>
    <row r="853" spans="1:13" ht="63" outlineLevel="5">
      <c r="A853" s="36" t="s">
        <v>689</v>
      </c>
      <c r="B853" s="64" t="s">
        <v>54</v>
      </c>
      <c r="C853" s="64" t="s">
        <v>17</v>
      </c>
      <c r="D853" s="64" t="s">
        <v>3</v>
      </c>
      <c r="E853" s="64" t="s">
        <v>3</v>
      </c>
      <c r="F853" s="65">
        <f>F854</f>
        <v>2000</v>
      </c>
      <c r="G853" s="65"/>
      <c r="L853" s="80"/>
      <c r="M853" s="80"/>
    </row>
    <row r="854" spans="1:13" ht="126" outlineLevel="5">
      <c r="A854" s="63" t="s">
        <v>661</v>
      </c>
      <c r="B854" s="64" t="s">
        <v>54</v>
      </c>
      <c r="C854" s="64" t="s">
        <v>17</v>
      </c>
      <c r="D854" s="64" t="s">
        <v>2</v>
      </c>
      <c r="E854" s="64" t="s">
        <v>22</v>
      </c>
      <c r="F854" s="65">
        <f>'Приложение_7 '!G308</f>
        <v>2000</v>
      </c>
      <c r="G854" s="65"/>
      <c r="L854" s="80"/>
      <c r="M854" s="80"/>
    </row>
    <row r="855" spans="1:13" ht="126" outlineLevel="3">
      <c r="A855" s="63" t="s">
        <v>432</v>
      </c>
      <c r="B855" s="64" t="s">
        <v>55</v>
      </c>
      <c r="C855" s="64" t="s">
        <v>1</v>
      </c>
      <c r="D855" s="64" t="s">
        <v>3</v>
      </c>
      <c r="E855" s="64" t="s">
        <v>3</v>
      </c>
      <c r="F855" s="65">
        <f>F856</f>
        <v>248965</v>
      </c>
      <c r="G855" s="65"/>
      <c r="I855" s="80">
        <v>248965</v>
      </c>
      <c r="L855" s="80">
        <f t="shared" si="36"/>
        <v>0</v>
      </c>
      <c r="M855" s="80">
        <f t="shared" si="37"/>
        <v>0</v>
      </c>
    </row>
    <row r="856" spans="1:13" ht="141.75" outlineLevel="4">
      <c r="A856" s="63" t="s">
        <v>856</v>
      </c>
      <c r="B856" s="64" t="s">
        <v>55</v>
      </c>
      <c r="C856" s="64" t="s">
        <v>10</v>
      </c>
      <c r="D856" s="64" t="s">
        <v>3</v>
      </c>
      <c r="E856" s="64" t="s">
        <v>3</v>
      </c>
      <c r="F856" s="65">
        <f>F857</f>
        <v>248965</v>
      </c>
      <c r="G856" s="65"/>
      <c r="I856" s="80">
        <v>248965</v>
      </c>
      <c r="L856" s="80">
        <f t="shared" si="36"/>
        <v>0</v>
      </c>
      <c r="M856" s="80">
        <f t="shared" si="37"/>
        <v>0</v>
      </c>
    </row>
    <row r="857" spans="1:13" ht="126" outlineLevel="5">
      <c r="A857" s="63" t="s">
        <v>661</v>
      </c>
      <c r="B857" s="64" t="s">
        <v>55</v>
      </c>
      <c r="C857" s="64" t="s">
        <v>10</v>
      </c>
      <c r="D857" s="64" t="s">
        <v>2</v>
      </c>
      <c r="E857" s="64" t="s">
        <v>22</v>
      </c>
      <c r="F857" s="65">
        <f>Приложение_6!F106</f>
        <v>248965</v>
      </c>
      <c r="G857" s="65"/>
      <c r="I857" s="80">
        <v>248965</v>
      </c>
      <c r="L857" s="80">
        <f t="shared" si="36"/>
        <v>0</v>
      </c>
      <c r="M857" s="80">
        <f t="shared" si="37"/>
        <v>0</v>
      </c>
    </row>
    <row r="858" spans="1:13" ht="126" outlineLevel="2">
      <c r="A858" s="63" t="s">
        <v>542</v>
      </c>
      <c r="B858" s="64" t="s">
        <v>195</v>
      </c>
      <c r="C858" s="64" t="s">
        <v>1</v>
      </c>
      <c r="D858" s="64" t="s">
        <v>3</v>
      </c>
      <c r="E858" s="64" t="s">
        <v>3</v>
      </c>
      <c r="F858" s="65">
        <f>F859</f>
        <v>1494624</v>
      </c>
      <c r="G858" s="65"/>
      <c r="I858" s="80">
        <v>4141040</v>
      </c>
      <c r="L858" s="80">
        <f t="shared" si="36"/>
        <v>2646416</v>
      </c>
      <c r="M858" s="80">
        <f t="shared" si="37"/>
        <v>0</v>
      </c>
    </row>
    <row r="859" spans="1:13" ht="47.25" outlineLevel="3">
      <c r="A859" s="63" t="s">
        <v>458</v>
      </c>
      <c r="B859" s="64" t="s">
        <v>196</v>
      </c>
      <c r="C859" s="64" t="s">
        <v>1</v>
      </c>
      <c r="D859" s="64" t="s">
        <v>3</v>
      </c>
      <c r="E859" s="64" t="s">
        <v>3</v>
      </c>
      <c r="F859" s="65">
        <f>F860</f>
        <v>1494624</v>
      </c>
      <c r="G859" s="65"/>
      <c r="I859" s="80">
        <v>4141040</v>
      </c>
      <c r="L859" s="80">
        <f t="shared" si="36"/>
        <v>2646416</v>
      </c>
      <c r="M859" s="80">
        <f t="shared" si="37"/>
        <v>0</v>
      </c>
    </row>
    <row r="860" spans="1:13" ht="63" outlineLevel="4">
      <c r="A860" s="63" t="s">
        <v>689</v>
      </c>
      <c r="B860" s="64" t="s">
        <v>196</v>
      </c>
      <c r="C860" s="64" t="s">
        <v>17</v>
      </c>
      <c r="D860" s="64" t="s">
        <v>3</v>
      </c>
      <c r="E860" s="64" t="s">
        <v>3</v>
      </c>
      <c r="F860" s="65">
        <f>F861</f>
        <v>1494624</v>
      </c>
      <c r="G860" s="65"/>
      <c r="I860" s="80">
        <v>4141040</v>
      </c>
      <c r="L860" s="80">
        <f t="shared" si="36"/>
        <v>2646416</v>
      </c>
      <c r="M860" s="80">
        <f t="shared" si="37"/>
        <v>0</v>
      </c>
    </row>
    <row r="861" spans="1:13" ht="31.5" outlineLevel="5">
      <c r="A861" s="63" t="s">
        <v>671</v>
      </c>
      <c r="B861" s="64" t="s">
        <v>196</v>
      </c>
      <c r="C861" s="64" t="s">
        <v>17</v>
      </c>
      <c r="D861" s="64" t="s">
        <v>22</v>
      </c>
      <c r="E861" s="64" t="s">
        <v>192</v>
      </c>
      <c r="F861" s="65">
        <f>Приложение_6!F431</f>
        <v>1494624</v>
      </c>
      <c r="G861" s="65"/>
      <c r="I861" s="80">
        <v>4141040</v>
      </c>
      <c r="L861" s="80">
        <f t="shared" si="36"/>
        <v>2646416</v>
      </c>
      <c r="M861" s="80">
        <f t="shared" si="37"/>
        <v>0</v>
      </c>
    </row>
    <row r="862" spans="1:13" ht="126" outlineLevel="2">
      <c r="A862" s="63" t="s">
        <v>515</v>
      </c>
      <c r="B862" s="64" t="s">
        <v>113</v>
      </c>
      <c r="C862" s="64" t="s">
        <v>1</v>
      </c>
      <c r="D862" s="64" t="s">
        <v>3</v>
      </c>
      <c r="E862" s="64" t="s">
        <v>3</v>
      </c>
      <c r="F862" s="65">
        <f>F863</f>
        <v>181941.02000000002</v>
      </c>
      <c r="G862" s="65"/>
      <c r="I862" s="80">
        <v>415525.02</v>
      </c>
      <c r="L862" s="80">
        <f t="shared" si="36"/>
        <v>233584</v>
      </c>
      <c r="M862" s="80">
        <f t="shared" si="37"/>
        <v>0</v>
      </c>
    </row>
    <row r="863" spans="1:13" ht="94.5" outlineLevel="3">
      <c r="A863" s="63" t="s">
        <v>446</v>
      </c>
      <c r="B863" s="64" t="s">
        <v>114</v>
      </c>
      <c r="C863" s="64" t="s">
        <v>1</v>
      </c>
      <c r="D863" s="64" t="s">
        <v>3</v>
      </c>
      <c r="E863" s="64" t="s">
        <v>3</v>
      </c>
      <c r="F863" s="65">
        <f>F864</f>
        <v>181941.02000000002</v>
      </c>
      <c r="G863" s="65"/>
      <c r="I863" s="80">
        <v>415525.02</v>
      </c>
      <c r="L863" s="80">
        <f t="shared" si="36"/>
        <v>233584</v>
      </c>
      <c r="M863" s="80">
        <f t="shared" si="37"/>
        <v>0</v>
      </c>
    </row>
    <row r="864" spans="1:13" ht="63" outlineLevel="4">
      <c r="A864" s="63" t="s">
        <v>689</v>
      </c>
      <c r="B864" s="64" t="s">
        <v>114</v>
      </c>
      <c r="C864" s="64" t="s">
        <v>17</v>
      </c>
      <c r="D864" s="64" t="s">
        <v>3</v>
      </c>
      <c r="E864" s="64" t="s">
        <v>3</v>
      </c>
      <c r="F864" s="65">
        <f>F865</f>
        <v>181941.02000000002</v>
      </c>
      <c r="G864" s="65"/>
      <c r="I864" s="80">
        <v>415525.02</v>
      </c>
      <c r="L864" s="80">
        <f t="shared" si="36"/>
        <v>233584</v>
      </c>
      <c r="M864" s="80">
        <f t="shared" si="37"/>
        <v>0</v>
      </c>
    </row>
    <row r="865" spans="1:13" ht="31.5" outlineLevel="5">
      <c r="A865" s="63" t="s">
        <v>664</v>
      </c>
      <c r="B865" s="64" t="s">
        <v>114</v>
      </c>
      <c r="C865" s="64" t="s">
        <v>17</v>
      </c>
      <c r="D865" s="64" t="s">
        <v>2</v>
      </c>
      <c r="E865" s="64" t="s">
        <v>66</v>
      </c>
      <c r="F865" s="65">
        <f>Приложение_6!F238</f>
        <v>181941.02000000002</v>
      </c>
      <c r="G865" s="65"/>
      <c r="I865" s="80">
        <v>415525.02</v>
      </c>
      <c r="L865" s="80">
        <f t="shared" si="36"/>
        <v>233584</v>
      </c>
      <c r="M865" s="80">
        <f t="shared" si="37"/>
        <v>0</v>
      </c>
    </row>
    <row r="866" spans="1:13" ht="204.75" outlineLevel="5">
      <c r="A866" s="36" t="s">
        <v>882</v>
      </c>
      <c r="B866" s="37" t="s">
        <v>883</v>
      </c>
      <c r="C866" s="37" t="s">
        <v>1</v>
      </c>
      <c r="D866" s="64" t="s">
        <v>3</v>
      </c>
      <c r="E866" s="64" t="s">
        <v>3</v>
      </c>
      <c r="F866" s="65">
        <f>F867</f>
        <v>1800000</v>
      </c>
      <c r="G866" s="65"/>
      <c r="I866" s="80"/>
      <c r="L866" s="80"/>
      <c r="M866" s="80"/>
    </row>
    <row r="867" spans="1:13" ht="47.25" outlineLevel="5">
      <c r="A867" s="36" t="s">
        <v>458</v>
      </c>
      <c r="B867" s="37" t="s">
        <v>884</v>
      </c>
      <c r="C867" s="37" t="s">
        <v>1</v>
      </c>
      <c r="D867" s="64" t="s">
        <v>3</v>
      </c>
      <c r="E867" s="64" t="s">
        <v>3</v>
      </c>
      <c r="F867" s="65">
        <f>F868</f>
        <v>1800000</v>
      </c>
      <c r="G867" s="65"/>
      <c r="I867" s="80"/>
      <c r="L867" s="80"/>
      <c r="M867" s="80"/>
    </row>
    <row r="868" spans="1:13" ht="63" outlineLevel="5">
      <c r="A868" s="36" t="s">
        <v>689</v>
      </c>
      <c r="B868" s="37" t="s">
        <v>884</v>
      </c>
      <c r="C868" s="37" t="s">
        <v>17</v>
      </c>
      <c r="D868" s="64" t="s">
        <v>3</v>
      </c>
      <c r="E868" s="64" t="s">
        <v>3</v>
      </c>
      <c r="F868" s="65">
        <f>F869</f>
        <v>1800000</v>
      </c>
      <c r="G868" s="65"/>
      <c r="I868" s="80"/>
      <c r="L868" s="80"/>
      <c r="M868" s="80"/>
    </row>
    <row r="869" spans="1:13" ht="31.5" outlineLevel="5">
      <c r="A869" s="63" t="s">
        <v>671</v>
      </c>
      <c r="B869" s="37" t="s">
        <v>884</v>
      </c>
      <c r="C869" s="37" t="s">
        <v>17</v>
      </c>
      <c r="D869" s="64" t="s">
        <v>22</v>
      </c>
      <c r="E869" s="64" t="s">
        <v>192</v>
      </c>
      <c r="F869" s="65">
        <f>Приложение_6!F434</f>
        <v>1800000</v>
      </c>
      <c r="G869" s="65"/>
      <c r="I869" s="80"/>
      <c r="L869" s="80"/>
      <c r="M869" s="80"/>
    </row>
    <row r="870" spans="1:13" ht="126" outlineLevel="5">
      <c r="A870" s="63" t="s">
        <v>930</v>
      </c>
      <c r="B870" s="37" t="s">
        <v>931</v>
      </c>
      <c r="C870" s="37" t="s">
        <v>1</v>
      </c>
      <c r="D870" s="64" t="s">
        <v>3</v>
      </c>
      <c r="E870" s="64" t="s">
        <v>3</v>
      </c>
      <c r="F870" s="65">
        <f>F871</f>
        <v>500000</v>
      </c>
      <c r="G870" s="65"/>
      <c r="I870" s="80"/>
      <c r="L870" s="80"/>
      <c r="M870" s="80"/>
    </row>
    <row r="871" spans="1:13" ht="47.25" outlineLevel="5">
      <c r="A871" s="36" t="s">
        <v>458</v>
      </c>
      <c r="B871" s="37" t="s">
        <v>932</v>
      </c>
      <c r="C871" s="37" t="s">
        <v>1</v>
      </c>
      <c r="D871" s="64" t="s">
        <v>3</v>
      </c>
      <c r="E871" s="64" t="s">
        <v>3</v>
      </c>
      <c r="F871" s="65">
        <f>F872</f>
        <v>500000</v>
      </c>
      <c r="G871" s="65"/>
      <c r="I871" s="80"/>
      <c r="L871" s="80"/>
      <c r="M871" s="80"/>
    </row>
    <row r="872" spans="1:13" ht="63" outlineLevel="5">
      <c r="A872" s="36" t="s">
        <v>689</v>
      </c>
      <c r="B872" s="37" t="s">
        <v>932</v>
      </c>
      <c r="C872" s="37" t="s">
        <v>17</v>
      </c>
      <c r="D872" s="64" t="s">
        <v>3</v>
      </c>
      <c r="E872" s="64" t="s">
        <v>3</v>
      </c>
      <c r="F872" s="65">
        <f>F873</f>
        <v>500000</v>
      </c>
      <c r="G872" s="65"/>
      <c r="I872" s="80"/>
      <c r="L872" s="80"/>
      <c r="M872" s="80"/>
    </row>
    <row r="873" spans="1:13" ht="31.5" outlineLevel="5">
      <c r="A873" s="63" t="s">
        <v>671</v>
      </c>
      <c r="B873" s="37" t="s">
        <v>932</v>
      </c>
      <c r="C873" s="37" t="s">
        <v>17</v>
      </c>
      <c r="D873" s="64" t="s">
        <v>22</v>
      </c>
      <c r="E873" s="64" t="s">
        <v>192</v>
      </c>
      <c r="F873" s="65">
        <f>Приложение_6!F437</f>
        <v>500000</v>
      </c>
      <c r="G873" s="65"/>
      <c r="I873" s="80"/>
      <c r="L873" s="80"/>
      <c r="M873" s="80"/>
    </row>
    <row r="874" spans="1:13" ht="94.5" outlineLevel="1">
      <c r="A874" s="70" t="s">
        <v>614</v>
      </c>
      <c r="B874" s="71" t="s">
        <v>56</v>
      </c>
      <c r="C874" s="71" t="s">
        <v>1</v>
      </c>
      <c r="D874" s="71" t="s">
        <v>3</v>
      </c>
      <c r="E874" s="71" t="s">
        <v>3</v>
      </c>
      <c r="F874" s="72">
        <f>F875</f>
        <v>7864886.96</v>
      </c>
      <c r="G874" s="72"/>
      <c r="I874" s="80">
        <v>7864886.96</v>
      </c>
      <c r="L874" s="80">
        <f t="shared" si="36"/>
        <v>0</v>
      </c>
      <c r="M874" s="80">
        <f t="shared" si="37"/>
        <v>0</v>
      </c>
    </row>
    <row r="875" spans="1:13" ht="78.75" outlineLevel="2">
      <c r="A875" s="63" t="s">
        <v>498</v>
      </c>
      <c r="B875" s="64" t="s">
        <v>57</v>
      </c>
      <c r="C875" s="64" t="s">
        <v>1</v>
      </c>
      <c r="D875" s="64" t="s">
        <v>3</v>
      </c>
      <c r="E875" s="64" t="s">
        <v>3</v>
      </c>
      <c r="F875" s="65">
        <f>F876+F879</f>
        <v>7864886.96</v>
      </c>
      <c r="G875" s="65"/>
      <c r="I875" s="80">
        <v>7864886.96</v>
      </c>
      <c r="L875" s="80">
        <f t="shared" si="36"/>
        <v>0</v>
      </c>
      <c r="M875" s="80">
        <f t="shared" si="37"/>
        <v>0</v>
      </c>
    </row>
    <row r="876" spans="1:13" ht="63" outlineLevel="3">
      <c r="A876" s="63" t="s">
        <v>434</v>
      </c>
      <c r="B876" s="64" t="s">
        <v>58</v>
      </c>
      <c r="C876" s="64" t="s">
        <v>1</v>
      </c>
      <c r="D876" s="64" t="s">
        <v>3</v>
      </c>
      <c r="E876" s="64" t="s">
        <v>3</v>
      </c>
      <c r="F876" s="65">
        <f>F877</f>
        <v>7759523.42</v>
      </c>
      <c r="G876" s="65"/>
      <c r="I876" s="80">
        <v>7759523.42</v>
      </c>
      <c r="L876" s="80">
        <f t="shared" si="36"/>
        <v>0</v>
      </c>
      <c r="M876" s="80">
        <f t="shared" si="37"/>
        <v>0</v>
      </c>
    </row>
    <row r="877" spans="1:13" ht="141.75" outlineLevel="4">
      <c r="A877" s="63" t="s">
        <v>856</v>
      </c>
      <c r="B877" s="64" t="s">
        <v>58</v>
      </c>
      <c r="C877" s="64" t="s">
        <v>10</v>
      </c>
      <c r="D877" s="64" t="s">
        <v>3</v>
      </c>
      <c r="E877" s="64" t="s">
        <v>3</v>
      </c>
      <c r="F877" s="65">
        <f>F878</f>
        <v>7759523.42</v>
      </c>
      <c r="G877" s="65"/>
      <c r="I877" s="80">
        <v>7759523.42</v>
      </c>
      <c r="L877" s="80">
        <f t="shared" si="36"/>
        <v>0</v>
      </c>
      <c r="M877" s="80">
        <f t="shared" si="37"/>
        <v>0</v>
      </c>
    </row>
    <row r="878" spans="1:13" ht="126" outlineLevel="5">
      <c r="A878" s="63" t="s">
        <v>661</v>
      </c>
      <c r="B878" s="64" t="s">
        <v>58</v>
      </c>
      <c r="C878" s="64" t="s">
        <v>10</v>
      </c>
      <c r="D878" s="64" t="s">
        <v>2</v>
      </c>
      <c r="E878" s="64" t="s">
        <v>22</v>
      </c>
      <c r="F878" s="65">
        <f>Приложение_6!F110</f>
        <v>7759523.42</v>
      </c>
      <c r="G878" s="65"/>
      <c r="I878" s="80">
        <v>7759523.42</v>
      </c>
      <c r="L878" s="80">
        <f t="shared" si="36"/>
        <v>0</v>
      </c>
      <c r="M878" s="80">
        <f t="shared" si="37"/>
        <v>0</v>
      </c>
    </row>
    <row r="879" spans="1:13" ht="126" outlineLevel="3">
      <c r="A879" s="63" t="s">
        <v>432</v>
      </c>
      <c r="B879" s="64" t="s">
        <v>59</v>
      </c>
      <c r="C879" s="64" t="s">
        <v>1</v>
      </c>
      <c r="D879" s="64" t="s">
        <v>3</v>
      </c>
      <c r="E879" s="64" t="s">
        <v>3</v>
      </c>
      <c r="F879" s="65">
        <f>F880</f>
        <v>105363.54</v>
      </c>
      <c r="G879" s="65"/>
      <c r="I879" s="80">
        <v>105363.54</v>
      </c>
      <c r="L879" s="80">
        <f t="shared" si="36"/>
        <v>0</v>
      </c>
      <c r="M879" s="80">
        <f t="shared" si="37"/>
        <v>0</v>
      </c>
    </row>
    <row r="880" spans="1:13" ht="141.75" outlineLevel="4">
      <c r="A880" s="63" t="s">
        <v>856</v>
      </c>
      <c r="B880" s="64" t="s">
        <v>59</v>
      </c>
      <c r="C880" s="64" t="s">
        <v>10</v>
      </c>
      <c r="D880" s="64" t="s">
        <v>3</v>
      </c>
      <c r="E880" s="64" t="s">
        <v>3</v>
      </c>
      <c r="F880" s="65">
        <f>F881</f>
        <v>105363.54</v>
      </c>
      <c r="G880" s="65"/>
      <c r="I880" s="80">
        <v>105363.54</v>
      </c>
      <c r="L880" s="80">
        <f t="shared" si="36"/>
        <v>0</v>
      </c>
      <c r="M880" s="80">
        <f t="shared" si="37"/>
        <v>0</v>
      </c>
    </row>
    <row r="881" spans="1:13" ht="126" outlineLevel="5">
      <c r="A881" s="63" t="s">
        <v>661</v>
      </c>
      <c r="B881" s="64" t="s">
        <v>59</v>
      </c>
      <c r="C881" s="64" t="s">
        <v>10</v>
      </c>
      <c r="D881" s="64" t="s">
        <v>2</v>
      </c>
      <c r="E881" s="64" t="s">
        <v>22</v>
      </c>
      <c r="F881" s="65">
        <f>Приложение_6!F112</f>
        <v>105363.54</v>
      </c>
      <c r="G881" s="65"/>
      <c r="I881" s="80">
        <v>105363.54</v>
      </c>
      <c r="L881" s="80">
        <f t="shared" si="36"/>
        <v>0</v>
      </c>
      <c r="M881" s="80">
        <f t="shared" si="37"/>
        <v>0</v>
      </c>
    </row>
    <row r="882" spans="1:13" ht="31.5" outlineLevel="1">
      <c r="A882" s="70" t="s">
        <v>622</v>
      </c>
      <c r="B882" s="71" t="s">
        <v>115</v>
      </c>
      <c r="C882" s="71" t="s">
        <v>1</v>
      </c>
      <c r="D882" s="71" t="s">
        <v>3</v>
      </c>
      <c r="E882" s="71" t="s">
        <v>3</v>
      </c>
      <c r="F882" s="72">
        <f>F883</f>
        <v>8050035.49</v>
      </c>
      <c r="G882" s="72"/>
      <c r="I882" s="80">
        <v>8050035.49</v>
      </c>
      <c r="L882" s="80">
        <f t="shared" si="36"/>
        <v>0</v>
      </c>
      <c r="M882" s="80">
        <f t="shared" si="37"/>
        <v>0</v>
      </c>
    </row>
    <row r="883" spans="1:13" ht="63" outlineLevel="2">
      <c r="A883" s="63" t="s">
        <v>516</v>
      </c>
      <c r="B883" s="64" t="s">
        <v>116</v>
      </c>
      <c r="C883" s="64" t="s">
        <v>1</v>
      </c>
      <c r="D883" s="64" t="s">
        <v>3</v>
      </c>
      <c r="E883" s="64" t="s">
        <v>3</v>
      </c>
      <c r="F883" s="65">
        <f>F884+F889</f>
        <v>8050035.49</v>
      </c>
      <c r="G883" s="65"/>
      <c r="I883" s="80">
        <v>8050035.49</v>
      </c>
      <c r="L883" s="80">
        <f t="shared" si="36"/>
        <v>0</v>
      </c>
      <c r="M883" s="80">
        <f t="shared" si="37"/>
        <v>0</v>
      </c>
    </row>
    <row r="884" spans="1:13" ht="126" outlineLevel="3">
      <c r="A884" s="63" t="s">
        <v>443</v>
      </c>
      <c r="B884" s="64" t="s">
        <v>117</v>
      </c>
      <c r="C884" s="64" t="s">
        <v>1</v>
      </c>
      <c r="D884" s="64" t="s">
        <v>3</v>
      </c>
      <c r="E884" s="64" t="s">
        <v>3</v>
      </c>
      <c r="F884" s="65">
        <f>F885+F887</f>
        <v>7874399.69</v>
      </c>
      <c r="G884" s="65"/>
      <c r="I884" s="80">
        <v>7907648.49</v>
      </c>
      <c r="L884" s="80">
        <f t="shared" si="36"/>
        <v>33248.799999999814</v>
      </c>
      <c r="M884" s="80">
        <f t="shared" si="37"/>
        <v>0</v>
      </c>
    </row>
    <row r="885" spans="1:13" ht="141.75" outlineLevel="4">
      <c r="A885" s="63" t="s">
        <v>856</v>
      </c>
      <c r="B885" s="64" t="s">
        <v>117</v>
      </c>
      <c r="C885" s="64" t="s">
        <v>10</v>
      </c>
      <c r="D885" s="64" t="s">
        <v>3</v>
      </c>
      <c r="E885" s="64" t="s">
        <v>3</v>
      </c>
      <c r="F885" s="65">
        <f>F886</f>
        <v>6294677.19</v>
      </c>
      <c r="G885" s="65"/>
      <c r="I885" s="80">
        <v>6312377.99</v>
      </c>
      <c r="L885" s="80">
        <f t="shared" si="36"/>
        <v>17700.799999999814</v>
      </c>
      <c r="M885" s="80">
        <f t="shared" si="37"/>
        <v>0</v>
      </c>
    </row>
    <row r="886" spans="1:13" ht="31.5" outlineLevel="5">
      <c r="A886" s="63" t="s">
        <v>664</v>
      </c>
      <c r="B886" s="64" t="s">
        <v>117</v>
      </c>
      <c r="C886" s="64" t="s">
        <v>10</v>
      </c>
      <c r="D886" s="64" t="s">
        <v>2</v>
      </c>
      <c r="E886" s="64" t="s">
        <v>66</v>
      </c>
      <c r="F886" s="65">
        <f>Приложение_6!F242</f>
        <v>6294677.19</v>
      </c>
      <c r="G886" s="65"/>
      <c r="I886" s="80">
        <v>6312377.99</v>
      </c>
      <c r="L886" s="80">
        <f t="shared" si="36"/>
        <v>17700.799999999814</v>
      </c>
      <c r="M886" s="80">
        <f t="shared" si="37"/>
        <v>0</v>
      </c>
    </row>
    <row r="887" spans="1:13" ht="63" outlineLevel="4">
      <c r="A887" s="63" t="s">
        <v>689</v>
      </c>
      <c r="B887" s="64" t="s">
        <v>117</v>
      </c>
      <c r="C887" s="64" t="s">
        <v>17</v>
      </c>
      <c r="D887" s="64" t="s">
        <v>3</v>
      </c>
      <c r="E887" s="64" t="s">
        <v>3</v>
      </c>
      <c r="F887" s="65">
        <f>F888</f>
        <v>1579722.5</v>
      </c>
      <c r="G887" s="65"/>
      <c r="I887" s="80">
        <v>1595270.5</v>
      </c>
      <c r="L887" s="80">
        <f t="shared" si="36"/>
        <v>15548</v>
      </c>
      <c r="M887" s="80">
        <f t="shared" si="37"/>
        <v>0</v>
      </c>
    </row>
    <row r="888" spans="1:13" ht="31.5" outlineLevel="5">
      <c r="A888" s="63" t="s">
        <v>664</v>
      </c>
      <c r="B888" s="64" t="s">
        <v>117</v>
      </c>
      <c r="C888" s="64" t="s">
        <v>17</v>
      </c>
      <c r="D888" s="64" t="s">
        <v>2</v>
      </c>
      <c r="E888" s="64" t="s">
        <v>66</v>
      </c>
      <c r="F888" s="65">
        <f>Приложение_6!F243</f>
        <v>1579722.5</v>
      </c>
      <c r="G888" s="65"/>
      <c r="I888" s="80">
        <v>1595270.5</v>
      </c>
      <c r="L888" s="80">
        <f t="shared" si="36"/>
        <v>15548</v>
      </c>
      <c r="M888" s="80">
        <f t="shared" si="37"/>
        <v>0</v>
      </c>
    </row>
    <row r="889" spans="1:13" ht="126" outlineLevel="3">
      <c r="A889" s="63" t="s">
        <v>432</v>
      </c>
      <c r="B889" s="64" t="s">
        <v>118</v>
      </c>
      <c r="C889" s="64" t="s">
        <v>1</v>
      </c>
      <c r="D889" s="64" t="s">
        <v>3</v>
      </c>
      <c r="E889" s="64" t="s">
        <v>3</v>
      </c>
      <c r="F889" s="65">
        <f>F890</f>
        <v>175635.8</v>
      </c>
      <c r="G889" s="65"/>
      <c r="I889" s="80">
        <v>142387</v>
      </c>
      <c r="L889" s="80">
        <f t="shared" si="36"/>
        <v>-33248.79999999999</v>
      </c>
      <c r="M889" s="80">
        <f t="shared" si="37"/>
        <v>0</v>
      </c>
    </row>
    <row r="890" spans="1:13" ht="141.75" outlineLevel="4">
      <c r="A890" s="63" t="s">
        <v>856</v>
      </c>
      <c r="B890" s="64" t="s">
        <v>118</v>
      </c>
      <c r="C890" s="64" t="s">
        <v>10</v>
      </c>
      <c r="D890" s="64" t="s">
        <v>3</v>
      </c>
      <c r="E890" s="64" t="s">
        <v>3</v>
      </c>
      <c r="F890" s="65">
        <f>F891</f>
        <v>175635.8</v>
      </c>
      <c r="G890" s="65"/>
      <c r="I890" s="80">
        <v>142387</v>
      </c>
      <c r="L890" s="80">
        <f t="shared" si="36"/>
        <v>-33248.79999999999</v>
      </c>
      <c r="M890" s="80">
        <f t="shared" si="37"/>
        <v>0</v>
      </c>
    </row>
    <row r="891" spans="1:13" ht="31.5" outlineLevel="5">
      <c r="A891" s="63" t="s">
        <v>664</v>
      </c>
      <c r="B891" s="64" t="s">
        <v>118</v>
      </c>
      <c r="C891" s="64" t="s">
        <v>10</v>
      </c>
      <c r="D891" s="64" t="s">
        <v>2</v>
      </c>
      <c r="E891" s="64" t="s">
        <v>66</v>
      </c>
      <c r="F891" s="65">
        <f>Приложение_6!F245</f>
        <v>175635.8</v>
      </c>
      <c r="G891" s="65"/>
      <c r="I891" s="80">
        <v>142387</v>
      </c>
      <c r="L891" s="80">
        <f t="shared" si="36"/>
        <v>-33248.79999999999</v>
      </c>
      <c r="M891" s="80">
        <f t="shared" si="37"/>
        <v>0</v>
      </c>
    </row>
    <row r="892" spans="1:13" ht="110.25" customHeight="1" outlineLevel="1">
      <c r="A892" s="70" t="s">
        <v>623</v>
      </c>
      <c r="B892" s="71" t="s">
        <v>119</v>
      </c>
      <c r="C892" s="71" t="s">
        <v>1</v>
      </c>
      <c r="D892" s="71" t="s">
        <v>3</v>
      </c>
      <c r="E892" s="71" t="s">
        <v>3</v>
      </c>
      <c r="F892" s="72">
        <f>F893+F904+F908+F914+F920</f>
        <v>28277365.490000002</v>
      </c>
      <c r="G892" s="72"/>
      <c r="I892" s="80">
        <v>27264965.49</v>
      </c>
      <c r="L892" s="80">
        <f t="shared" si="36"/>
        <v>-1012400.0000000037</v>
      </c>
      <c r="M892" s="80">
        <f t="shared" si="37"/>
        <v>0</v>
      </c>
    </row>
    <row r="893" spans="1:13" ht="159.75" customHeight="1" outlineLevel="2">
      <c r="A893" s="63" t="s">
        <v>517</v>
      </c>
      <c r="B893" s="64" t="s">
        <v>120</v>
      </c>
      <c r="C893" s="64" t="s">
        <v>1</v>
      </c>
      <c r="D893" s="64" t="s">
        <v>3</v>
      </c>
      <c r="E893" s="64" t="s">
        <v>3</v>
      </c>
      <c r="F893" s="65">
        <f>F894+F901</f>
        <v>20301796.090000004</v>
      </c>
      <c r="G893" s="65"/>
      <c r="I893" s="80">
        <v>19184396.09</v>
      </c>
      <c r="L893" s="80">
        <f t="shared" si="36"/>
        <v>-1117400.0000000037</v>
      </c>
      <c r="M893" s="80">
        <f t="shared" si="37"/>
        <v>0</v>
      </c>
    </row>
    <row r="894" spans="1:13" ht="126" outlineLevel="3">
      <c r="A894" s="63" t="s">
        <v>443</v>
      </c>
      <c r="B894" s="64" t="s">
        <v>121</v>
      </c>
      <c r="C894" s="64" t="s">
        <v>1</v>
      </c>
      <c r="D894" s="64" t="s">
        <v>3</v>
      </c>
      <c r="E894" s="64" t="s">
        <v>3</v>
      </c>
      <c r="F894" s="65">
        <f>F895+F897+F899</f>
        <v>19751490.51</v>
      </c>
      <c r="G894" s="65"/>
      <c r="I894" s="80">
        <v>18739090.51</v>
      </c>
      <c r="L894" s="80">
        <f t="shared" si="36"/>
        <v>-1012400</v>
      </c>
      <c r="M894" s="80">
        <f t="shared" si="37"/>
        <v>0</v>
      </c>
    </row>
    <row r="895" spans="1:13" ht="141.75" outlineLevel="4">
      <c r="A895" s="63" t="s">
        <v>856</v>
      </c>
      <c r="B895" s="64" t="s">
        <v>121</v>
      </c>
      <c r="C895" s="64" t="s">
        <v>10</v>
      </c>
      <c r="D895" s="64" t="s">
        <v>3</v>
      </c>
      <c r="E895" s="64" t="s">
        <v>3</v>
      </c>
      <c r="F895" s="65">
        <f>F896</f>
        <v>18566169.360000003</v>
      </c>
      <c r="G895" s="65"/>
      <c r="I895" s="80">
        <v>17709740.98</v>
      </c>
      <c r="L895" s="80">
        <f t="shared" si="36"/>
        <v>-856428.3800000027</v>
      </c>
      <c r="M895" s="80">
        <f t="shared" si="37"/>
        <v>0</v>
      </c>
    </row>
    <row r="896" spans="1:13" ht="31.5" outlineLevel="5">
      <c r="A896" s="63" t="s">
        <v>664</v>
      </c>
      <c r="B896" s="64" t="s">
        <v>121</v>
      </c>
      <c r="C896" s="64" t="s">
        <v>10</v>
      </c>
      <c r="D896" s="64" t="s">
        <v>2</v>
      </c>
      <c r="E896" s="64" t="s">
        <v>66</v>
      </c>
      <c r="F896" s="65">
        <f>Приложение_6!F249</f>
        <v>18566169.360000003</v>
      </c>
      <c r="G896" s="65"/>
      <c r="I896" s="80">
        <v>17709740.98</v>
      </c>
      <c r="L896" s="80">
        <f t="shared" si="36"/>
        <v>-856428.3800000027</v>
      </c>
      <c r="M896" s="80">
        <f t="shared" si="37"/>
        <v>0</v>
      </c>
    </row>
    <row r="897" spans="1:13" ht="63" outlineLevel="4">
      <c r="A897" s="63" t="s">
        <v>689</v>
      </c>
      <c r="B897" s="64" t="s">
        <v>121</v>
      </c>
      <c r="C897" s="64" t="s">
        <v>17</v>
      </c>
      <c r="D897" s="64" t="s">
        <v>3</v>
      </c>
      <c r="E897" s="64" t="s">
        <v>3</v>
      </c>
      <c r="F897" s="65">
        <f>F898</f>
        <v>1182521.15</v>
      </c>
      <c r="G897" s="65"/>
      <c r="I897" s="80">
        <v>1029349.53</v>
      </c>
      <c r="L897" s="80">
        <f t="shared" si="36"/>
        <v>-153171.61999999988</v>
      </c>
      <c r="M897" s="80">
        <f t="shared" si="37"/>
        <v>0</v>
      </c>
    </row>
    <row r="898" spans="1:13" ht="31.5" outlineLevel="5">
      <c r="A898" s="63" t="s">
        <v>664</v>
      </c>
      <c r="B898" s="64" t="s">
        <v>121</v>
      </c>
      <c r="C898" s="64" t="s">
        <v>17</v>
      </c>
      <c r="D898" s="64" t="s">
        <v>2</v>
      </c>
      <c r="E898" s="64" t="s">
        <v>66</v>
      </c>
      <c r="F898" s="65">
        <f>Приложение_6!F250</f>
        <v>1182521.15</v>
      </c>
      <c r="G898" s="65"/>
      <c r="I898" s="80">
        <v>1029349.53</v>
      </c>
      <c r="L898" s="80">
        <f t="shared" si="36"/>
        <v>-153171.61999999988</v>
      </c>
      <c r="M898" s="80">
        <f t="shared" si="37"/>
        <v>0</v>
      </c>
    </row>
    <row r="899" spans="1:13" ht="31.5" outlineLevel="5">
      <c r="A899" s="19" t="s">
        <v>691</v>
      </c>
      <c r="B899" s="64" t="s">
        <v>121</v>
      </c>
      <c r="C899" s="64" t="s">
        <v>65</v>
      </c>
      <c r="D899" s="64" t="s">
        <v>3</v>
      </c>
      <c r="E899" s="64" t="s">
        <v>3</v>
      </c>
      <c r="F899" s="65">
        <f>F900</f>
        <v>2800</v>
      </c>
      <c r="G899" s="65"/>
      <c r="I899" s="80"/>
      <c r="L899" s="80"/>
      <c r="M899" s="80"/>
    </row>
    <row r="900" spans="1:13" ht="31.5" outlineLevel="5">
      <c r="A900" s="63" t="s">
        <v>664</v>
      </c>
      <c r="B900" s="64" t="s">
        <v>121</v>
      </c>
      <c r="C900" s="64" t="s">
        <v>65</v>
      </c>
      <c r="D900" s="64" t="s">
        <v>2</v>
      </c>
      <c r="E900" s="64" t="s">
        <v>66</v>
      </c>
      <c r="F900" s="65">
        <f>Приложение_6!F251</f>
        <v>2800</v>
      </c>
      <c r="G900" s="65"/>
      <c r="I900" s="80"/>
      <c r="L900" s="80"/>
      <c r="M900" s="80"/>
    </row>
    <row r="901" spans="1:13" ht="126" outlineLevel="3">
      <c r="A901" s="63" t="s">
        <v>432</v>
      </c>
      <c r="B901" s="64" t="s">
        <v>122</v>
      </c>
      <c r="C901" s="64" t="s">
        <v>1</v>
      </c>
      <c r="D901" s="64" t="s">
        <v>3</v>
      </c>
      <c r="E901" s="64" t="s">
        <v>3</v>
      </c>
      <c r="F901" s="65">
        <f>F902</f>
        <v>550305.5800000001</v>
      </c>
      <c r="G901" s="65"/>
      <c r="I901" s="80">
        <v>445305.58</v>
      </c>
      <c r="L901" s="80">
        <f aca="true" t="shared" si="38" ref="L901:L969">I901-F901</f>
        <v>-105000.00000000006</v>
      </c>
      <c r="M901" s="80">
        <f aca="true" t="shared" si="39" ref="M901:M969">J901-G901</f>
        <v>0</v>
      </c>
    </row>
    <row r="902" spans="1:13" ht="141.75" outlineLevel="4">
      <c r="A902" s="63" t="s">
        <v>856</v>
      </c>
      <c r="B902" s="64" t="s">
        <v>122</v>
      </c>
      <c r="C902" s="64" t="s">
        <v>10</v>
      </c>
      <c r="D902" s="64" t="s">
        <v>3</v>
      </c>
      <c r="E902" s="64" t="s">
        <v>3</v>
      </c>
      <c r="F902" s="65">
        <f>F903</f>
        <v>550305.5800000001</v>
      </c>
      <c r="G902" s="65"/>
      <c r="I902" s="80">
        <v>445305.58</v>
      </c>
      <c r="L902" s="80">
        <f t="shared" si="38"/>
        <v>-105000.00000000006</v>
      </c>
      <c r="M902" s="80">
        <f t="shared" si="39"/>
        <v>0</v>
      </c>
    </row>
    <row r="903" spans="1:13" ht="31.5" outlineLevel="5">
      <c r="A903" s="63" t="s">
        <v>664</v>
      </c>
      <c r="B903" s="64" t="s">
        <v>122</v>
      </c>
      <c r="C903" s="64" t="s">
        <v>10</v>
      </c>
      <c r="D903" s="64" t="s">
        <v>2</v>
      </c>
      <c r="E903" s="64" t="s">
        <v>66</v>
      </c>
      <c r="F903" s="65">
        <f>Приложение_6!F253</f>
        <v>550305.5800000001</v>
      </c>
      <c r="G903" s="65"/>
      <c r="I903" s="80">
        <v>445305.58</v>
      </c>
      <c r="L903" s="80">
        <f t="shared" si="38"/>
        <v>-105000.00000000006</v>
      </c>
      <c r="M903" s="80">
        <f t="shared" si="39"/>
        <v>0</v>
      </c>
    </row>
    <row r="904" spans="1:13" ht="94.5" outlineLevel="2">
      <c r="A904" s="63" t="s">
        <v>518</v>
      </c>
      <c r="B904" s="64" t="s">
        <v>123</v>
      </c>
      <c r="C904" s="64" t="s">
        <v>1</v>
      </c>
      <c r="D904" s="64" t="s">
        <v>3</v>
      </c>
      <c r="E904" s="64" t="s">
        <v>3</v>
      </c>
      <c r="F904" s="65">
        <f>F905</f>
        <v>35908</v>
      </c>
      <c r="G904" s="65"/>
      <c r="I904" s="80">
        <v>35908</v>
      </c>
      <c r="L904" s="80">
        <f t="shared" si="38"/>
        <v>0</v>
      </c>
      <c r="M904" s="80">
        <f t="shared" si="39"/>
        <v>0</v>
      </c>
    </row>
    <row r="905" spans="1:13" ht="126" outlineLevel="3">
      <c r="A905" s="63" t="s">
        <v>443</v>
      </c>
      <c r="B905" s="64" t="s">
        <v>124</v>
      </c>
      <c r="C905" s="64" t="s">
        <v>1</v>
      </c>
      <c r="D905" s="64" t="s">
        <v>3</v>
      </c>
      <c r="E905" s="64" t="s">
        <v>3</v>
      </c>
      <c r="F905" s="65">
        <f>F906</f>
        <v>35908</v>
      </c>
      <c r="G905" s="65"/>
      <c r="I905" s="80">
        <v>35908</v>
      </c>
      <c r="L905" s="80">
        <f t="shared" si="38"/>
        <v>0</v>
      </c>
      <c r="M905" s="80">
        <f t="shared" si="39"/>
        <v>0</v>
      </c>
    </row>
    <row r="906" spans="1:13" ht="63" outlineLevel="4">
      <c r="A906" s="63" t="s">
        <v>689</v>
      </c>
      <c r="B906" s="64" t="s">
        <v>124</v>
      </c>
      <c r="C906" s="64" t="s">
        <v>17</v>
      </c>
      <c r="D906" s="64" t="s">
        <v>3</v>
      </c>
      <c r="E906" s="64" t="s">
        <v>3</v>
      </c>
      <c r="F906" s="65">
        <f>F907</f>
        <v>35908</v>
      </c>
      <c r="G906" s="65"/>
      <c r="I906" s="80">
        <v>35908</v>
      </c>
      <c r="L906" s="80">
        <f t="shared" si="38"/>
        <v>0</v>
      </c>
      <c r="M906" s="80">
        <f t="shared" si="39"/>
        <v>0</v>
      </c>
    </row>
    <row r="907" spans="1:13" ht="31.5" outlineLevel="5">
      <c r="A907" s="63" t="s">
        <v>664</v>
      </c>
      <c r="B907" s="64" t="s">
        <v>124</v>
      </c>
      <c r="C907" s="64" t="s">
        <v>17</v>
      </c>
      <c r="D907" s="64" t="s">
        <v>2</v>
      </c>
      <c r="E907" s="64" t="s">
        <v>66</v>
      </c>
      <c r="F907" s="65">
        <f>Приложение_6!F256</f>
        <v>35908</v>
      </c>
      <c r="G907" s="65"/>
      <c r="I907" s="80">
        <v>35908</v>
      </c>
      <c r="L907" s="80">
        <f t="shared" si="38"/>
        <v>0</v>
      </c>
      <c r="M907" s="80">
        <f t="shared" si="39"/>
        <v>0</v>
      </c>
    </row>
    <row r="908" spans="1:13" ht="78.75" outlineLevel="2">
      <c r="A908" s="63" t="s">
        <v>519</v>
      </c>
      <c r="B908" s="64" t="s">
        <v>125</v>
      </c>
      <c r="C908" s="64" t="s">
        <v>1</v>
      </c>
      <c r="D908" s="64" t="s">
        <v>3</v>
      </c>
      <c r="E908" s="64" t="s">
        <v>3</v>
      </c>
      <c r="F908" s="65">
        <f>F909</f>
        <v>5588721.359999999</v>
      </c>
      <c r="G908" s="65"/>
      <c r="I908" s="80">
        <v>5588721.36</v>
      </c>
      <c r="L908" s="80">
        <f t="shared" si="38"/>
        <v>0</v>
      </c>
      <c r="M908" s="80">
        <f t="shared" si="39"/>
        <v>0</v>
      </c>
    </row>
    <row r="909" spans="1:13" ht="126" outlineLevel="3">
      <c r="A909" s="63" t="s">
        <v>443</v>
      </c>
      <c r="B909" s="64" t="s">
        <v>126</v>
      </c>
      <c r="C909" s="64" t="s">
        <v>1</v>
      </c>
      <c r="D909" s="64" t="s">
        <v>3</v>
      </c>
      <c r="E909" s="64" t="s">
        <v>3</v>
      </c>
      <c r="F909" s="65">
        <f>F910+F912</f>
        <v>5588721.359999999</v>
      </c>
      <c r="G909" s="65"/>
      <c r="I909" s="80">
        <v>5588721.36</v>
      </c>
      <c r="L909" s="80">
        <f t="shared" si="38"/>
        <v>0</v>
      </c>
      <c r="M909" s="80">
        <f t="shared" si="39"/>
        <v>0</v>
      </c>
    </row>
    <row r="910" spans="1:13" ht="141.75" outlineLevel="4">
      <c r="A910" s="63" t="s">
        <v>856</v>
      </c>
      <c r="B910" s="64" t="s">
        <v>126</v>
      </c>
      <c r="C910" s="64" t="s">
        <v>10</v>
      </c>
      <c r="D910" s="64" t="s">
        <v>3</v>
      </c>
      <c r="E910" s="64" t="s">
        <v>3</v>
      </c>
      <c r="F910" s="65">
        <f>F911</f>
        <v>5040338.6</v>
      </c>
      <c r="G910" s="65"/>
      <c r="I910" s="80">
        <v>5040338.6</v>
      </c>
      <c r="L910" s="80">
        <f t="shared" si="38"/>
        <v>0</v>
      </c>
      <c r="M910" s="80">
        <f t="shared" si="39"/>
        <v>0</v>
      </c>
    </row>
    <row r="911" spans="1:13" ht="31.5" outlineLevel="5">
      <c r="A911" s="63" t="s">
        <v>664</v>
      </c>
      <c r="B911" s="64" t="s">
        <v>126</v>
      </c>
      <c r="C911" s="64" t="s">
        <v>10</v>
      </c>
      <c r="D911" s="64" t="s">
        <v>2</v>
      </c>
      <c r="E911" s="64" t="s">
        <v>66</v>
      </c>
      <c r="F911" s="65">
        <f>Приложение_6!F259</f>
        <v>5040338.6</v>
      </c>
      <c r="G911" s="65"/>
      <c r="I911" s="80">
        <v>5040338.6</v>
      </c>
      <c r="L911" s="80">
        <f t="shared" si="38"/>
        <v>0</v>
      </c>
      <c r="M911" s="80">
        <f t="shared" si="39"/>
        <v>0</v>
      </c>
    </row>
    <row r="912" spans="1:13" ht="63" outlineLevel="4">
      <c r="A912" s="63" t="s">
        <v>689</v>
      </c>
      <c r="B912" s="64" t="s">
        <v>126</v>
      </c>
      <c r="C912" s="64" t="s">
        <v>17</v>
      </c>
      <c r="D912" s="64" t="s">
        <v>3</v>
      </c>
      <c r="E912" s="64" t="s">
        <v>3</v>
      </c>
      <c r="F912" s="65">
        <f>F913</f>
        <v>548382.76</v>
      </c>
      <c r="G912" s="65"/>
      <c r="I912" s="80">
        <v>548382.76</v>
      </c>
      <c r="L912" s="80">
        <f t="shared" si="38"/>
        <v>0</v>
      </c>
      <c r="M912" s="80">
        <f t="shared" si="39"/>
        <v>0</v>
      </c>
    </row>
    <row r="913" spans="1:13" ht="31.5" outlineLevel="5">
      <c r="A913" s="63" t="s">
        <v>664</v>
      </c>
      <c r="B913" s="64" t="s">
        <v>126</v>
      </c>
      <c r="C913" s="64" t="s">
        <v>17</v>
      </c>
      <c r="D913" s="64" t="s">
        <v>2</v>
      </c>
      <c r="E913" s="64" t="s">
        <v>66</v>
      </c>
      <c r="F913" s="65">
        <f>Приложение_6!F260</f>
        <v>548382.76</v>
      </c>
      <c r="G913" s="65"/>
      <c r="I913" s="80">
        <v>548382.76</v>
      </c>
      <c r="L913" s="80">
        <f t="shared" si="38"/>
        <v>0</v>
      </c>
      <c r="M913" s="80">
        <f t="shared" si="39"/>
        <v>0</v>
      </c>
    </row>
    <row r="914" spans="1:13" ht="94.5" customHeight="1" outlineLevel="2">
      <c r="A914" s="63" t="s">
        <v>520</v>
      </c>
      <c r="B914" s="64" t="s">
        <v>127</v>
      </c>
      <c r="C914" s="64" t="s">
        <v>1</v>
      </c>
      <c r="D914" s="64" t="s">
        <v>3</v>
      </c>
      <c r="E914" s="64" t="s">
        <v>3</v>
      </c>
      <c r="F914" s="65">
        <f>F915</f>
        <v>235380</v>
      </c>
      <c r="G914" s="65"/>
      <c r="I914" s="80">
        <v>340380</v>
      </c>
      <c r="L914" s="80">
        <f t="shared" si="38"/>
        <v>105000</v>
      </c>
      <c r="M914" s="80">
        <f t="shared" si="39"/>
        <v>0</v>
      </c>
    </row>
    <row r="915" spans="1:13" ht="31.5" customHeight="1" outlineLevel="3">
      <c r="A915" s="63" t="s">
        <v>441</v>
      </c>
      <c r="B915" s="64" t="s">
        <v>128</v>
      </c>
      <c r="C915" s="64" t="s">
        <v>1</v>
      </c>
      <c r="D915" s="64" t="s">
        <v>3</v>
      </c>
      <c r="E915" s="64" t="s">
        <v>3</v>
      </c>
      <c r="F915" s="65">
        <f>F916+F918</f>
        <v>235380</v>
      </c>
      <c r="G915" s="65"/>
      <c r="I915" s="80">
        <v>340380</v>
      </c>
      <c r="L915" s="80">
        <f t="shared" si="38"/>
        <v>105000</v>
      </c>
      <c r="M915" s="80">
        <f t="shared" si="39"/>
        <v>0</v>
      </c>
    </row>
    <row r="916" spans="1:13" ht="31.5" outlineLevel="4">
      <c r="A916" s="63" t="s">
        <v>690</v>
      </c>
      <c r="B916" s="64" t="s">
        <v>128</v>
      </c>
      <c r="C916" s="64" t="s">
        <v>47</v>
      </c>
      <c r="D916" s="64" t="s">
        <v>3</v>
      </c>
      <c r="E916" s="64" t="s">
        <v>3</v>
      </c>
      <c r="F916" s="65">
        <f>F917</f>
        <v>235380</v>
      </c>
      <c r="G916" s="65"/>
      <c r="I916" s="80">
        <v>340380</v>
      </c>
      <c r="L916" s="80">
        <f t="shared" si="38"/>
        <v>105000</v>
      </c>
      <c r="M916" s="80">
        <f t="shared" si="39"/>
        <v>0</v>
      </c>
    </row>
    <row r="917" spans="1:13" ht="31.5" outlineLevel="5">
      <c r="A917" s="63" t="s">
        <v>664</v>
      </c>
      <c r="B917" s="64" t="s">
        <v>128</v>
      </c>
      <c r="C917" s="64" t="s">
        <v>47</v>
      </c>
      <c r="D917" s="64" t="s">
        <v>2</v>
      </c>
      <c r="E917" s="64" t="s">
        <v>66</v>
      </c>
      <c r="F917" s="65">
        <f>Приложение_6!F263</f>
        <v>235380</v>
      </c>
      <c r="G917" s="65"/>
      <c r="I917" s="80">
        <v>340380</v>
      </c>
      <c r="L917" s="80">
        <f t="shared" si="38"/>
        <v>105000</v>
      </c>
      <c r="M917" s="80">
        <f t="shared" si="39"/>
        <v>0</v>
      </c>
    </row>
    <row r="918" spans="1:13" ht="31.5" hidden="1" outlineLevel="5">
      <c r="A918" s="19" t="s">
        <v>691</v>
      </c>
      <c r="B918" s="64" t="s">
        <v>128</v>
      </c>
      <c r="C918" s="64" t="s">
        <v>65</v>
      </c>
      <c r="D918" s="64" t="s">
        <v>3</v>
      </c>
      <c r="E918" s="64" t="s">
        <v>3</v>
      </c>
      <c r="F918" s="65">
        <f>F919</f>
        <v>0</v>
      </c>
      <c r="G918" s="65"/>
      <c r="I918" s="80"/>
      <c r="L918" s="80"/>
      <c r="M918" s="80"/>
    </row>
    <row r="919" spans="1:13" ht="31.5" hidden="1" outlineLevel="5">
      <c r="A919" s="63" t="s">
        <v>664</v>
      </c>
      <c r="B919" s="64" t="s">
        <v>128</v>
      </c>
      <c r="C919" s="64" t="s">
        <v>65</v>
      </c>
      <c r="D919" s="64" t="s">
        <v>2</v>
      </c>
      <c r="E919" s="64" t="s">
        <v>66</v>
      </c>
      <c r="F919" s="65">
        <f>Приложение_6!F264</f>
        <v>0</v>
      </c>
      <c r="G919" s="65"/>
      <c r="I919" s="80"/>
      <c r="L919" s="80"/>
      <c r="M919" s="80"/>
    </row>
    <row r="920" spans="1:13" ht="110.25" outlineLevel="2" collapsed="1">
      <c r="A920" s="63" t="s">
        <v>521</v>
      </c>
      <c r="B920" s="64" t="s">
        <v>129</v>
      </c>
      <c r="C920" s="64" t="s">
        <v>1</v>
      </c>
      <c r="D920" s="64" t="s">
        <v>3</v>
      </c>
      <c r="E920" s="64" t="s">
        <v>3</v>
      </c>
      <c r="F920" s="65">
        <f>F921</f>
        <v>2115560.04</v>
      </c>
      <c r="G920" s="65"/>
      <c r="I920" s="80">
        <v>2115560.04</v>
      </c>
      <c r="L920" s="80">
        <f t="shared" si="38"/>
        <v>0</v>
      </c>
      <c r="M920" s="80">
        <f t="shared" si="39"/>
        <v>0</v>
      </c>
    </row>
    <row r="921" spans="1:13" ht="126" outlineLevel="3">
      <c r="A921" s="63" t="s">
        <v>443</v>
      </c>
      <c r="B921" s="64" t="s">
        <v>130</v>
      </c>
      <c r="C921" s="64" t="s">
        <v>1</v>
      </c>
      <c r="D921" s="64" t="s">
        <v>3</v>
      </c>
      <c r="E921" s="64" t="s">
        <v>3</v>
      </c>
      <c r="F921" s="65">
        <f>F922</f>
        <v>2115560.04</v>
      </c>
      <c r="G921" s="65"/>
      <c r="I921" s="80">
        <v>2115560.04</v>
      </c>
      <c r="L921" s="80">
        <f t="shared" si="38"/>
        <v>0</v>
      </c>
      <c r="M921" s="80">
        <f t="shared" si="39"/>
        <v>0</v>
      </c>
    </row>
    <row r="922" spans="1:13" ht="141.75" outlineLevel="4">
      <c r="A922" s="63" t="s">
        <v>856</v>
      </c>
      <c r="B922" s="64" t="s">
        <v>130</v>
      </c>
      <c r="C922" s="64" t="s">
        <v>10</v>
      </c>
      <c r="D922" s="64" t="s">
        <v>3</v>
      </c>
      <c r="E922" s="64" t="s">
        <v>3</v>
      </c>
      <c r="F922" s="65">
        <f>F923</f>
        <v>2115560.04</v>
      </c>
      <c r="G922" s="65"/>
      <c r="I922" s="80">
        <v>2115560.04</v>
      </c>
      <c r="L922" s="80">
        <f t="shared" si="38"/>
        <v>0</v>
      </c>
      <c r="M922" s="80">
        <f t="shared" si="39"/>
        <v>0</v>
      </c>
    </row>
    <row r="923" spans="1:13" ht="31.5" outlineLevel="5">
      <c r="A923" s="63" t="s">
        <v>664</v>
      </c>
      <c r="B923" s="64" t="s">
        <v>130</v>
      </c>
      <c r="C923" s="64" t="s">
        <v>10</v>
      </c>
      <c r="D923" s="64" t="s">
        <v>2</v>
      </c>
      <c r="E923" s="64" t="s">
        <v>66</v>
      </c>
      <c r="F923" s="65">
        <f>Приложение_6!F267</f>
        <v>2115560.04</v>
      </c>
      <c r="G923" s="65"/>
      <c r="I923" s="80">
        <v>2115560.04</v>
      </c>
      <c r="L923" s="80">
        <f t="shared" si="38"/>
        <v>0</v>
      </c>
      <c r="M923" s="80">
        <f t="shared" si="39"/>
        <v>0</v>
      </c>
    </row>
    <row r="924" spans="1:13" ht="63" outlineLevel="1">
      <c r="A924" s="70" t="s">
        <v>624</v>
      </c>
      <c r="B924" s="71" t="s">
        <v>131</v>
      </c>
      <c r="C924" s="71" t="s">
        <v>1</v>
      </c>
      <c r="D924" s="71" t="s">
        <v>3</v>
      </c>
      <c r="E924" s="71" t="s">
        <v>3</v>
      </c>
      <c r="F924" s="72">
        <f>F925+F936+F947</f>
        <v>33516665.739999995</v>
      </c>
      <c r="G924" s="72"/>
      <c r="I924" s="80">
        <v>33446282.56</v>
      </c>
      <c r="L924" s="80">
        <f t="shared" si="38"/>
        <v>-70383.17999999598</v>
      </c>
      <c r="M924" s="80">
        <f t="shared" si="39"/>
        <v>0</v>
      </c>
    </row>
    <row r="925" spans="1:13" ht="47.25" outlineLevel="2">
      <c r="A925" s="63" t="s">
        <v>522</v>
      </c>
      <c r="B925" s="64" t="s">
        <v>132</v>
      </c>
      <c r="C925" s="64" t="s">
        <v>1</v>
      </c>
      <c r="D925" s="64" t="s">
        <v>3</v>
      </c>
      <c r="E925" s="64" t="s">
        <v>3</v>
      </c>
      <c r="F925" s="65">
        <f>F926+F933</f>
        <v>9811553.35</v>
      </c>
      <c r="G925" s="65"/>
      <c r="I925" s="80">
        <v>9775521.4</v>
      </c>
      <c r="L925" s="80">
        <f t="shared" si="38"/>
        <v>-36031.949999999255</v>
      </c>
      <c r="M925" s="80">
        <f t="shared" si="39"/>
        <v>0</v>
      </c>
    </row>
    <row r="926" spans="1:13" ht="126" outlineLevel="3">
      <c r="A926" s="63" t="s">
        <v>443</v>
      </c>
      <c r="B926" s="64" t="s">
        <v>133</v>
      </c>
      <c r="C926" s="64" t="s">
        <v>1</v>
      </c>
      <c r="D926" s="64" t="s">
        <v>3</v>
      </c>
      <c r="E926" s="64" t="s">
        <v>3</v>
      </c>
      <c r="F926" s="65">
        <f>F927+F929+F931</f>
        <v>9690632.03</v>
      </c>
      <c r="G926" s="65"/>
      <c r="I926" s="80">
        <v>9693021.4</v>
      </c>
      <c r="L926" s="80">
        <f t="shared" si="38"/>
        <v>2389.370000001043</v>
      </c>
      <c r="M926" s="80">
        <f t="shared" si="39"/>
        <v>0</v>
      </c>
    </row>
    <row r="927" spans="1:13" ht="141.75" outlineLevel="4">
      <c r="A927" s="63" t="s">
        <v>856</v>
      </c>
      <c r="B927" s="64" t="s">
        <v>133</v>
      </c>
      <c r="C927" s="64" t="s">
        <v>10</v>
      </c>
      <c r="D927" s="64" t="s">
        <v>3</v>
      </c>
      <c r="E927" s="64" t="s">
        <v>3</v>
      </c>
      <c r="F927" s="65">
        <f>F928</f>
        <v>7012313.76</v>
      </c>
      <c r="G927" s="65"/>
      <c r="I927" s="80">
        <v>7012313.76</v>
      </c>
      <c r="L927" s="80">
        <f t="shared" si="38"/>
        <v>0</v>
      </c>
      <c r="M927" s="80">
        <f t="shared" si="39"/>
        <v>0</v>
      </c>
    </row>
    <row r="928" spans="1:13" ht="31.5" outlineLevel="5">
      <c r="A928" s="63" t="s">
        <v>664</v>
      </c>
      <c r="B928" s="64" t="s">
        <v>133</v>
      </c>
      <c r="C928" s="64" t="s">
        <v>10</v>
      </c>
      <c r="D928" s="64" t="s">
        <v>2</v>
      </c>
      <c r="E928" s="64" t="s">
        <v>66</v>
      </c>
      <c r="F928" s="65">
        <f>Приложение_6!F271</f>
        <v>7012313.76</v>
      </c>
      <c r="G928" s="65"/>
      <c r="I928" s="80">
        <v>7012313.76</v>
      </c>
      <c r="L928" s="80">
        <f t="shared" si="38"/>
        <v>0</v>
      </c>
      <c r="M928" s="80">
        <f t="shared" si="39"/>
        <v>0</v>
      </c>
    </row>
    <row r="929" spans="1:13" ht="63" outlineLevel="4">
      <c r="A929" s="63" t="s">
        <v>689</v>
      </c>
      <c r="B929" s="64" t="s">
        <v>133</v>
      </c>
      <c r="C929" s="64" t="s">
        <v>17</v>
      </c>
      <c r="D929" s="64" t="s">
        <v>3</v>
      </c>
      <c r="E929" s="64" t="s">
        <v>3</v>
      </c>
      <c r="F929" s="65">
        <f>F930</f>
        <v>2634519.27</v>
      </c>
      <c r="G929" s="65"/>
      <c r="I929" s="80">
        <v>2636908.64</v>
      </c>
      <c r="L929" s="80">
        <f t="shared" si="38"/>
        <v>2389.3700000001118</v>
      </c>
      <c r="M929" s="80">
        <f t="shared" si="39"/>
        <v>0</v>
      </c>
    </row>
    <row r="930" spans="1:13" ht="31.5" outlineLevel="5">
      <c r="A930" s="63" t="s">
        <v>664</v>
      </c>
      <c r="B930" s="64" t="s">
        <v>133</v>
      </c>
      <c r="C930" s="64" t="s">
        <v>17</v>
      </c>
      <c r="D930" s="64" t="s">
        <v>2</v>
      </c>
      <c r="E930" s="64" t="s">
        <v>66</v>
      </c>
      <c r="F930" s="65">
        <f>Приложение_6!F272</f>
        <v>2634519.27</v>
      </c>
      <c r="G930" s="65"/>
      <c r="I930" s="80">
        <v>2636908.64</v>
      </c>
      <c r="L930" s="80">
        <f t="shared" si="38"/>
        <v>2389.3700000001118</v>
      </c>
      <c r="M930" s="80">
        <f t="shared" si="39"/>
        <v>0</v>
      </c>
    </row>
    <row r="931" spans="1:13" ht="31.5" outlineLevel="4">
      <c r="A931" s="63" t="s">
        <v>691</v>
      </c>
      <c r="B931" s="64" t="s">
        <v>133</v>
      </c>
      <c r="C931" s="64" t="s">
        <v>65</v>
      </c>
      <c r="D931" s="64" t="s">
        <v>3</v>
      </c>
      <c r="E931" s="64" t="s">
        <v>3</v>
      </c>
      <c r="F931" s="65">
        <f>F932</f>
        <v>43799</v>
      </c>
      <c r="G931" s="65"/>
      <c r="I931" s="80">
        <v>43799</v>
      </c>
      <c r="L931" s="80">
        <f t="shared" si="38"/>
        <v>0</v>
      </c>
      <c r="M931" s="80">
        <f t="shared" si="39"/>
        <v>0</v>
      </c>
    </row>
    <row r="932" spans="1:13" ht="31.5" outlineLevel="5">
      <c r="A932" s="63" t="s">
        <v>664</v>
      </c>
      <c r="B932" s="64" t="s">
        <v>133</v>
      </c>
      <c r="C932" s="64" t="s">
        <v>65</v>
      </c>
      <c r="D932" s="64" t="s">
        <v>2</v>
      </c>
      <c r="E932" s="64" t="s">
        <v>66</v>
      </c>
      <c r="F932" s="65">
        <f>Приложение_6!F273</f>
        <v>43799</v>
      </c>
      <c r="G932" s="65"/>
      <c r="I932" s="80">
        <v>43799</v>
      </c>
      <c r="L932" s="80">
        <f t="shared" si="38"/>
        <v>0</v>
      </c>
      <c r="M932" s="80">
        <f t="shared" si="39"/>
        <v>0</v>
      </c>
    </row>
    <row r="933" spans="1:13" ht="126" outlineLevel="3">
      <c r="A933" s="63" t="s">
        <v>432</v>
      </c>
      <c r="B933" s="64" t="s">
        <v>134</v>
      </c>
      <c r="C933" s="64" t="s">
        <v>1</v>
      </c>
      <c r="D933" s="64" t="s">
        <v>3</v>
      </c>
      <c r="E933" s="64" t="s">
        <v>3</v>
      </c>
      <c r="F933" s="65">
        <f>F934</f>
        <v>120921.32</v>
      </c>
      <c r="G933" s="65"/>
      <c r="I933" s="80">
        <v>82500</v>
      </c>
      <c r="L933" s="80">
        <f t="shared" si="38"/>
        <v>-38421.32000000001</v>
      </c>
      <c r="M933" s="80">
        <f t="shared" si="39"/>
        <v>0</v>
      </c>
    </row>
    <row r="934" spans="1:13" ht="141.75" outlineLevel="4">
      <c r="A934" s="63" t="s">
        <v>856</v>
      </c>
      <c r="B934" s="64" t="s">
        <v>134</v>
      </c>
      <c r="C934" s="64" t="s">
        <v>10</v>
      </c>
      <c r="D934" s="64" t="s">
        <v>3</v>
      </c>
      <c r="E934" s="64" t="s">
        <v>3</v>
      </c>
      <c r="F934" s="65">
        <f>F935</f>
        <v>120921.32</v>
      </c>
      <c r="G934" s="65"/>
      <c r="I934" s="80">
        <v>82500</v>
      </c>
      <c r="L934" s="80">
        <f t="shared" si="38"/>
        <v>-38421.32000000001</v>
      </c>
      <c r="M934" s="80">
        <f t="shared" si="39"/>
        <v>0</v>
      </c>
    </row>
    <row r="935" spans="1:13" ht="31.5" outlineLevel="5">
      <c r="A935" s="63" t="s">
        <v>664</v>
      </c>
      <c r="B935" s="64" t="s">
        <v>134</v>
      </c>
      <c r="C935" s="64" t="s">
        <v>10</v>
      </c>
      <c r="D935" s="64" t="s">
        <v>2</v>
      </c>
      <c r="E935" s="64" t="s">
        <v>66</v>
      </c>
      <c r="F935" s="65">
        <f>Приложение_6!F275</f>
        <v>120921.32</v>
      </c>
      <c r="G935" s="65"/>
      <c r="I935" s="80">
        <v>82500</v>
      </c>
      <c r="L935" s="80">
        <f t="shared" si="38"/>
        <v>-38421.32000000001</v>
      </c>
      <c r="M935" s="80">
        <f t="shared" si="39"/>
        <v>0</v>
      </c>
    </row>
    <row r="936" spans="1:13" ht="94.5" outlineLevel="2">
      <c r="A936" s="63" t="s">
        <v>523</v>
      </c>
      <c r="B936" s="64" t="s">
        <v>135</v>
      </c>
      <c r="C936" s="64" t="s">
        <v>1</v>
      </c>
      <c r="D936" s="64" t="s">
        <v>3</v>
      </c>
      <c r="E936" s="64" t="s">
        <v>3</v>
      </c>
      <c r="F936" s="65">
        <f>F937+F944</f>
        <v>21075189.24</v>
      </c>
      <c r="G936" s="65"/>
      <c r="I936" s="80">
        <v>20503573.51</v>
      </c>
      <c r="L936" s="80">
        <f t="shared" si="38"/>
        <v>-571615.7299999967</v>
      </c>
      <c r="M936" s="80">
        <f t="shared" si="39"/>
        <v>0</v>
      </c>
    </row>
    <row r="937" spans="1:13" ht="126" outlineLevel="3">
      <c r="A937" s="63" t="s">
        <v>443</v>
      </c>
      <c r="B937" s="64" t="s">
        <v>136</v>
      </c>
      <c r="C937" s="64" t="s">
        <v>1</v>
      </c>
      <c r="D937" s="64" t="s">
        <v>3</v>
      </c>
      <c r="E937" s="64" t="s">
        <v>3</v>
      </c>
      <c r="F937" s="65">
        <f>F938+F940+F942</f>
        <v>20795599.18</v>
      </c>
      <c r="G937" s="65"/>
      <c r="I937" s="80">
        <v>20336073.51</v>
      </c>
      <c r="L937" s="80">
        <f t="shared" si="38"/>
        <v>-459525.66999999806</v>
      </c>
      <c r="M937" s="80">
        <f t="shared" si="39"/>
        <v>0</v>
      </c>
    </row>
    <row r="938" spans="1:13" ht="141.75" outlineLevel="4">
      <c r="A938" s="63" t="s">
        <v>856</v>
      </c>
      <c r="B938" s="64" t="s">
        <v>136</v>
      </c>
      <c r="C938" s="64" t="s">
        <v>10</v>
      </c>
      <c r="D938" s="64" t="s">
        <v>3</v>
      </c>
      <c r="E938" s="64" t="s">
        <v>3</v>
      </c>
      <c r="F938" s="65">
        <f>F939</f>
        <v>12098388.55</v>
      </c>
      <c r="G938" s="65"/>
      <c r="I938" s="80">
        <v>11601322.55</v>
      </c>
      <c r="L938" s="80">
        <f t="shared" si="38"/>
        <v>-497066</v>
      </c>
      <c r="M938" s="80">
        <f t="shared" si="39"/>
        <v>0</v>
      </c>
    </row>
    <row r="939" spans="1:13" ht="31.5" outlineLevel="5">
      <c r="A939" s="63" t="s">
        <v>664</v>
      </c>
      <c r="B939" s="64" t="s">
        <v>136</v>
      </c>
      <c r="C939" s="64" t="s">
        <v>10</v>
      </c>
      <c r="D939" s="64" t="s">
        <v>2</v>
      </c>
      <c r="E939" s="64" t="s">
        <v>66</v>
      </c>
      <c r="F939" s="65">
        <f>Приложение_6!F278</f>
        <v>12098388.55</v>
      </c>
      <c r="G939" s="65"/>
      <c r="I939" s="80">
        <v>11601322.55</v>
      </c>
      <c r="L939" s="80">
        <f t="shared" si="38"/>
        <v>-497066</v>
      </c>
      <c r="M939" s="80">
        <f t="shared" si="39"/>
        <v>0</v>
      </c>
    </row>
    <row r="940" spans="1:13" ht="63" outlineLevel="4">
      <c r="A940" s="63" t="s">
        <v>689</v>
      </c>
      <c r="B940" s="64" t="s">
        <v>136</v>
      </c>
      <c r="C940" s="64" t="s">
        <v>17</v>
      </c>
      <c r="D940" s="64" t="s">
        <v>3</v>
      </c>
      <c r="E940" s="64" t="s">
        <v>3</v>
      </c>
      <c r="F940" s="65">
        <f>F941</f>
        <v>8668557.63</v>
      </c>
      <c r="G940" s="65"/>
      <c r="I940" s="80">
        <v>8706362.96</v>
      </c>
      <c r="L940" s="80">
        <f t="shared" si="38"/>
        <v>37805.330000000075</v>
      </c>
      <c r="M940" s="80">
        <f t="shared" si="39"/>
        <v>0</v>
      </c>
    </row>
    <row r="941" spans="1:13" ht="31.5" outlineLevel="5">
      <c r="A941" s="63" t="s">
        <v>664</v>
      </c>
      <c r="B941" s="64" t="s">
        <v>136</v>
      </c>
      <c r="C941" s="64" t="s">
        <v>17</v>
      </c>
      <c r="D941" s="64" t="s">
        <v>2</v>
      </c>
      <c r="E941" s="64" t="s">
        <v>66</v>
      </c>
      <c r="F941" s="65">
        <f>Приложение_6!F279</f>
        <v>8668557.63</v>
      </c>
      <c r="G941" s="65"/>
      <c r="I941" s="80">
        <v>8706362.96</v>
      </c>
      <c r="L941" s="80">
        <f t="shared" si="38"/>
        <v>37805.330000000075</v>
      </c>
      <c r="M941" s="80">
        <f t="shared" si="39"/>
        <v>0</v>
      </c>
    </row>
    <row r="942" spans="1:13" ht="31.5" outlineLevel="4">
      <c r="A942" s="63" t="s">
        <v>691</v>
      </c>
      <c r="B942" s="64" t="s">
        <v>136</v>
      </c>
      <c r="C942" s="64" t="s">
        <v>65</v>
      </c>
      <c r="D942" s="64" t="s">
        <v>3</v>
      </c>
      <c r="E942" s="64" t="s">
        <v>3</v>
      </c>
      <c r="F942" s="65">
        <f>F943</f>
        <v>28653</v>
      </c>
      <c r="G942" s="65"/>
      <c r="I942" s="80">
        <v>28388</v>
      </c>
      <c r="L942" s="80">
        <f t="shared" si="38"/>
        <v>-265</v>
      </c>
      <c r="M942" s="80">
        <f t="shared" si="39"/>
        <v>0</v>
      </c>
    </row>
    <row r="943" spans="1:13" ht="31.5" outlineLevel="5">
      <c r="A943" s="63" t="s">
        <v>664</v>
      </c>
      <c r="B943" s="64" t="s">
        <v>136</v>
      </c>
      <c r="C943" s="64" t="s">
        <v>65</v>
      </c>
      <c r="D943" s="64" t="s">
        <v>2</v>
      </c>
      <c r="E943" s="64" t="s">
        <v>66</v>
      </c>
      <c r="F943" s="65">
        <f>Приложение_6!F280</f>
        <v>28653</v>
      </c>
      <c r="G943" s="65"/>
      <c r="I943" s="80">
        <v>28388</v>
      </c>
      <c r="L943" s="80">
        <f t="shared" si="38"/>
        <v>-265</v>
      </c>
      <c r="M943" s="80">
        <f t="shared" si="39"/>
        <v>0</v>
      </c>
    </row>
    <row r="944" spans="1:13" ht="126" outlineLevel="3">
      <c r="A944" s="63" t="s">
        <v>432</v>
      </c>
      <c r="B944" s="64" t="s">
        <v>137</v>
      </c>
      <c r="C944" s="64" t="s">
        <v>1</v>
      </c>
      <c r="D944" s="64" t="s">
        <v>3</v>
      </c>
      <c r="E944" s="64" t="s">
        <v>3</v>
      </c>
      <c r="F944" s="65">
        <f>F945</f>
        <v>279590.06</v>
      </c>
      <c r="G944" s="65"/>
      <c r="I944" s="80">
        <v>167500</v>
      </c>
      <c r="L944" s="80">
        <f t="shared" si="38"/>
        <v>-112090.06</v>
      </c>
      <c r="M944" s="80">
        <f t="shared" si="39"/>
        <v>0</v>
      </c>
    </row>
    <row r="945" spans="1:13" ht="141.75" outlineLevel="4">
      <c r="A945" s="63" t="s">
        <v>856</v>
      </c>
      <c r="B945" s="64" t="s">
        <v>137</v>
      </c>
      <c r="C945" s="64" t="s">
        <v>10</v>
      </c>
      <c r="D945" s="64" t="s">
        <v>3</v>
      </c>
      <c r="E945" s="64" t="s">
        <v>3</v>
      </c>
      <c r="F945" s="65">
        <f>F946</f>
        <v>279590.06</v>
      </c>
      <c r="G945" s="65"/>
      <c r="I945" s="80">
        <v>167500</v>
      </c>
      <c r="L945" s="80">
        <f t="shared" si="38"/>
        <v>-112090.06</v>
      </c>
      <c r="M945" s="80">
        <f t="shared" si="39"/>
        <v>0</v>
      </c>
    </row>
    <row r="946" spans="1:13" ht="31.5" outlineLevel="5">
      <c r="A946" s="63" t="s">
        <v>664</v>
      </c>
      <c r="B946" s="64" t="s">
        <v>137</v>
      </c>
      <c r="C946" s="64" t="s">
        <v>10</v>
      </c>
      <c r="D946" s="64" t="s">
        <v>2</v>
      </c>
      <c r="E946" s="64" t="s">
        <v>66</v>
      </c>
      <c r="F946" s="65">
        <f>Приложение_6!F282</f>
        <v>279590.06</v>
      </c>
      <c r="G946" s="65"/>
      <c r="I946" s="80">
        <v>167500</v>
      </c>
      <c r="L946" s="80">
        <f t="shared" si="38"/>
        <v>-112090.06</v>
      </c>
      <c r="M946" s="80">
        <f t="shared" si="39"/>
        <v>0</v>
      </c>
    </row>
    <row r="947" spans="1:13" ht="63" outlineLevel="2">
      <c r="A947" s="63" t="s">
        <v>524</v>
      </c>
      <c r="B947" s="64" t="s">
        <v>138</v>
      </c>
      <c r="C947" s="64" t="s">
        <v>1</v>
      </c>
      <c r="D947" s="64" t="s">
        <v>3</v>
      </c>
      <c r="E947" s="64" t="s">
        <v>3</v>
      </c>
      <c r="F947" s="65">
        <f>F948+F956+F953</f>
        <v>2629923.15</v>
      </c>
      <c r="G947" s="65"/>
      <c r="I947" s="80">
        <v>3167187.65</v>
      </c>
      <c r="L947" s="80">
        <f t="shared" si="38"/>
        <v>537264.5</v>
      </c>
      <c r="M947" s="80">
        <f t="shared" si="39"/>
        <v>0</v>
      </c>
    </row>
    <row r="948" spans="1:13" ht="126" outlineLevel="3">
      <c r="A948" s="63" t="s">
        <v>443</v>
      </c>
      <c r="B948" s="64" t="s">
        <v>139</v>
      </c>
      <c r="C948" s="64" t="s">
        <v>1</v>
      </c>
      <c r="D948" s="64" t="s">
        <v>3</v>
      </c>
      <c r="E948" s="64" t="s">
        <v>3</v>
      </c>
      <c r="F948" s="65">
        <f>F949+F951</f>
        <v>1785019.7</v>
      </c>
      <c r="G948" s="65"/>
      <c r="I948" s="80">
        <v>2315008</v>
      </c>
      <c r="L948" s="80">
        <f t="shared" si="38"/>
        <v>529988.3</v>
      </c>
      <c r="M948" s="80">
        <f t="shared" si="39"/>
        <v>0</v>
      </c>
    </row>
    <row r="949" spans="1:13" ht="141.75" outlineLevel="4">
      <c r="A949" s="63" t="s">
        <v>856</v>
      </c>
      <c r="B949" s="64" t="s">
        <v>139</v>
      </c>
      <c r="C949" s="64" t="s">
        <v>10</v>
      </c>
      <c r="D949" s="64" t="s">
        <v>3</v>
      </c>
      <c r="E949" s="64" t="s">
        <v>3</v>
      </c>
      <c r="F949" s="65">
        <f>F950</f>
        <v>975437</v>
      </c>
      <c r="G949" s="65"/>
      <c r="I949" s="80">
        <v>1466478</v>
      </c>
      <c r="L949" s="80">
        <f t="shared" si="38"/>
        <v>491041</v>
      </c>
      <c r="M949" s="80">
        <f t="shared" si="39"/>
        <v>0</v>
      </c>
    </row>
    <row r="950" spans="1:13" ht="31.5" outlineLevel="5">
      <c r="A950" s="63" t="s">
        <v>664</v>
      </c>
      <c r="B950" s="64" t="s">
        <v>139</v>
      </c>
      <c r="C950" s="64" t="s">
        <v>10</v>
      </c>
      <c r="D950" s="64" t="s">
        <v>2</v>
      </c>
      <c r="E950" s="64" t="s">
        <v>66</v>
      </c>
      <c r="F950" s="65">
        <f>Приложение_6!F285</f>
        <v>975437</v>
      </c>
      <c r="G950" s="65"/>
      <c r="I950" s="80">
        <v>1466478</v>
      </c>
      <c r="L950" s="80">
        <f t="shared" si="38"/>
        <v>491041</v>
      </c>
      <c r="M950" s="80">
        <f t="shared" si="39"/>
        <v>0</v>
      </c>
    </row>
    <row r="951" spans="1:13" ht="63" outlineLevel="4">
      <c r="A951" s="63" t="s">
        <v>689</v>
      </c>
      <c r="B951" s="64" t="s">
        <v>139</v>
      </c>
      <c r="C951" s="64" t="s">
        <v>17</v>
      </c>
      <c r="D951" s="64" t="s">
        <v>3</v>
      </c>
      <c r="E951" s="64" t="s">
        <v>3</v>
      </c>
      <c r="F951" s="65">
        <f>F952</f>
        <v>809582.7</v>
      </c>
      <c r="G951" s="65"/>
      <c r="I951" s="80">
        <v>848530</v>
      </c>
      <c r="L951" s="80">
        <f t="shared" si="38"/>
        <v>38947.30000000005</v>
      </c>
      <c r="M951" s="80">
        <f t="shared" si="39"/>
        <v>0</v>
      </c>
    </row>
    <row r="952" spans="1:13" ht="31.5" outlineLevel="5">
      <c r="A952" s="63" t="s">
        <v>664</v>
      </c>
      <c r="B952" s="64" t="s">
        <v>139</v>
      </c>
      <c r="C952" s="64" t="s">
        <v>17</v>
      </c>
      <c r="D952" s="64" t="s">
        <v>2</v>
      </c>
      <c r="E952" s="64" t="s">
        <v>66</v>
      </c>
      <c r="F952" s="65">
        <f>Приложение_6!F286</f>
        <v>809582.7</v>
      </c>
      <c r="G952" s="65"/>
      <c r="I952" s="80">
        <v>848530</v>
      </c>
      <c r="L952" s="80">
        <f t="shared" si="38"/>
        <v>38947.30000000005</v>
      </c>
      <c r="M952" s="80">
        <f t="shared" si="39"/>
        <v>0</v>
      </c>
    </row>
    <row r="953" spans="1:13" ht="126" outlineLevel="5">
      <c r="A953" s="63" t="s">
        <v>432</v>
      </c>
      <c r="B953" s="64" t="s">
        <v>929</v>
      </c>
      <c r="C953" s="64" t="s">
        <v>1</v>
      </c>
      <c r="D953" s="64" t="s">
        <v>3</v>
      </c>
      <c r="E953" s="64" t="s">
        <v>3</v>
      </c>
      <c r="F953" s="65">
        <f>F954</f>
        <v>45723.8</v>
      </c>
      <c r="G953" s="65"/>
      <c r="I953" s="80"/>
      <c r="L953" s="80"/>
      <c r="M953" s="80"/>
    </row>
    <row r="954" spans="1:13" ht="141.75" outlineLevel="5">
      <c r="A954" s="63" t="s">
        <v>856</v>
      </c>
      <c r="B954" s="64" t="s">
        <v>929</v>
      </c>
      <c r="C954" s="64" t="s">
        <v>10</v>
      </c>
      <c r="D954" s="64" t="s">
        <v>3</v>
      </c>
      <c r="E954" s="64" t="s">
        <v>3</v>
      </c>
      <c r="F954" s="65">
        <f>F955</f>
        <v>45723.8</v>
      </c>
      <c r="G954" s="65"/>
      <c r="I954" s="80"/>
      <c r="L954" s="80"/>
      <c r="M954" s="80"/>
    </row>
    <row r="955" spans="1:13" ht="31.5" outlineLevel="5">
      <c r="A955" s="63" t="s">
        <v>664</v>
      </c>
      <c r="B955" s="64" t="s">
        <v>929</v>
      </c>
      <c r="C955" s="64" t="s">
        <v>10</v>
      </c>
      <c r="D955" s="64" t="s">
        <v>2</v>
      </c>
      <c r="E955" s="64" t="s">
        <v>66</v>
      </c>
      <c r="F955" s="65">
        <f>Приложение_6!F288</f>
        <v>45723.8</v>
      </c>
      <c r="G955" s="65"/>
      <c r="I955" s="80"/>
      <c r="L955" s="80"/>
      <c r="M955" s="80"/>
    </row>
    <row r="956" spans="1:13" ht="31.5" customHeight="1" outlineLevel="3">
      <c r="A956" s="63" t="s">
        <v>441</v>
      </c>
      <c r="B956" s="64" t="s">
        <v>140</v>
      </c>
      <c r="C956" s="64" t="s">
        <v>1</v>
      </c>
      <c r="D956" s="64" t="s">
        <v>3</v>
      </c>
      <c r="E956" s="64" t="s">
        <v>3</v>
      </c>
      <c r="F956" s="65">
        <f>F957</f>
        <v>799179.65</v>
      </c>
      <c r="G956" s="65"/>
      <c r="I956" s="80">
        <v>852179.65</v>
      </c>
      <c r="L956" s="80">
        <f t="shared" si="38"/>
        <v>53000</v>
      </c>
      <c r="M956" s="80">
        <f t="shared" si="39"/>
        <v>0</v>
      </c>
    </row>
    <row r="957" spans="1:13" ht="63" outlineLevel="4">
      <c r="A957" s="63" t="s">
        <v>689</v>
      </c>
      <c r="B957" s="64" t="s">
        <v>140</v>
      </c>
      <c r="C957" s="64" t="s">
        <v>17</v>
      </c>
      <c r="D957" s="64" t="s">
        <v>3</v>
      </c>
      <c r="E957" s="64" t="s">
        <v>3</v>
      </c>
      <c r="F957" s="65">
        <f>F958</f>
        <v>799179.65</v>
      </c>
      <c r="G957" s="65"/>
      <c r="I957" s="80">
        <v>852179.65</v>
      </c>
      <c r="L957" s="80">
        <f t="shared" si="38"/>
        <v>53000</v>
      </c>
      <c r="M957" s="80">
        <f t="shared" si="39"/>
        <v>0</v>
      </c>
    </row>
    <row r="958" spans="1:13" ht="31.5" outlineLevel="5">
      <c r="A958" s="63" t="s">
        <v>664</v>
      </c>
      <c r="B958" s="64" t="s">
        <v>140</v>
      </c>
      <c r="C958" s="64" t="s">
        <v>17</v>
      </c>
      <c r="D958" s="64" t="s">
        <v>2</v>
      </c>
      <c r="E958" s="64" t="s">
        <v>66</v>
      </c>
      <c r="F958" s="65">
        <f>Приложение_6!F290</f>
        <v>799179.65</v>
      </c>
      <c r="G958" s="65"/>
      <c r="I958" s="80">
        <v>852179.65</v>
      </c>
      <c r="L958" s="80">
        <f t="shared" si="38"/>
        <v>53000</v>
      </c>
      <c r="M958" s="80">
        <f t="shared" si="39"/>
        <v>0</v>
      </c>
    </row>
    <row r="959" spans="1:13" ht="126" outlineLevel="1">
      <c r="A959" s="70" t="s">
        <v>631</v>
      </c>
      <c r="B959" s="71" t="s">
        <v>197</v>
      </c>
      <c r="C959" s="71" t="s">
        <v>1</v>
      </c>
      <c r="D959" s="71" t="s">
        <v>3</v>
      </c>
      <c r="E959" s="71" t="s">
        <v>3</v>
      </c>
      <c r="F959" s="72">
        <f>F960+F970+F979</f>
        <v>21937440.990000002</v>
      </c>
      <c r="G959" s="72"/>
      <c r="I959" s="80">
        <v>23042258.4</v>
      </c>
      <c r="L959" s="80">
        <f t="shared" si="38"/>
        <v>1104817.4099999964</v>
      </c>
      <c r="M959" s="80">
        <f t="shared" si="39"/>
        <v>0</v>
      </c>
    </row>
    <row r="960" spans="1:13" ht="126" outlineLevel="2">
      <c r="A960" s="63" t="s">
        <v>543</v>
      </c>
      <c r="B960" s="64" t="s">
        <v>198</v>
      </c>
      <c r="C960" s="64" t="s">
        <v>1</v>
      </c>
      <c r="D960" s="64" t="s">
        <v>3</v>
      </c>
      <c r="E960" s="64" t="s">
        <v>3</v>
      </c>
      <c r="F960" s="65">
        <f>F961</f>
        <v>5933519.91</v>
      </c>
      <c r="G960" s="65"/>
      <c r="I960" s="80">
        <v>7135642.05</v>
      </c>
      <c r="L960" s="80">
        <f t="shared" si="38"/>
        <v>1202122.1399999997</v>
      </c>
      <c r="M960" s="80">
        <f t="shared" si="39"/>
        <v>0</v>
      </c>
    </row>
    <row r="961" spans="1:13" ht="126" outlineLevel="3">
      <c r="A961" s="63" t="s">
        <v>443</v>
      </c>
      <c r="B961" s="64" t="s">
        <v>199</v>
      </c>
      <c r="C961" s="64" t="s">
        <v>1</v>
      </c>
      <c r="D961" s="64" t="s">
        <v>3</v>
      </c>
      <c r="E961" s="64" t="s">
        <v>3</v>
      </c>
      <c r="F961" s="65">
        <f>F962+F964+F966+F968</f>
        <v>5933519.91</v>
      </c>
      <c r="G961" s="65"/>
      <c r="I961" s="80">
        <v>7135642.05</v>
      </c>
      <c r="L961" s="80">
        <f t="shared" si="38"/>
        <v>1202122.1399999997</v>
      </c>
      <c r="M961" s="80">
        <f t="shared" si="39"/>
        <v>0</v>
      </c>
    </row>
    <row r="962" spans="1:13" ht="141.75" outlineLevel="4">
      <c r="A962" s="63" t="s">
        <v>856</v>
      </c>
      <c r="B962" s="64" t="s">
        <v>199</v>
      </c>
      <c r="C962" s="64" t="s">
        <v>10</v>
      </c>
      <c r="D962" s="64" t="s">
        <v>3</v>
      </c>
      <c r="E962" s="64" t="s">
        <v>3</v>
      </c>
      <c r="F962" s="65">
        <f>F963</f>
        <v>5277891.38</v>
      </c>
      <c r="G962" s="65"/>
      <c r="I962" s="80">
        <v>5277891.38</v>
      </c>
      <c r="L962" s="80">
        <f t="shared" si="38"/>
        <v>0</v>
      </c>
      <c r="M962" s="80">
        <f t="shared" si="39"/>
        <v>0</v>
      </c>
    </row>
    <row r="963" spans="1:13" ht="31.5" outlineLevel="5">
      <c r="A963" s="63" t="s">
        <v>671</v>
      </c>
      <c r="B963" s="64" t="s">
        <v>199</v>
      </c>
      <c r="C963" s="64" t="s">
        <v>10</v>
      </c>
      <c r="D963" s="64" t="s">
        <v>22</v>
      </c>
      <c r="E963" s="64" t="s">
        <v>192</v>
      </c>
      <c r="F963" s="65">
        <f>Приложение_6!F441</f>
        <v>5277891.38</v>
      </c>
      <c r="G963" s="65"/>
      <c r="I963" s="80">
        <v>5277891.38</v>
      </c>
      <c r="L963" s="80">
        <f t="shared" si="38"/>
        <v>0</v>
      </c>
      <c r="M963" s="80">
        <f t="shared" si="39"/>
        <v>0</v>
      </c>
    </row>
    <row r="964" spans="1:13" ht="63" outlineLevel="4">
      <c r="A964" s="63" t="s">
        <v>689</v>
      </c>
      <c r="B964" s="64" t="s">
        <v>199</v>
      </c>
      <c r="C964" s="64" t="s">
        <v>17</v>
      </c>
      <c r="D964" s="64" t="s">
        <v>3</v>
      </c>
      <c r="E964" s="64" t="s">
        <v>3</v>
      </c>
      <c r="F964" s="65">
        <f>F965</f>
        <v>178070.85</v>
      </c>
      <c r="G964" s="65"/>
      <c r="I964" s="80">
        <v>178070.85</v>
      </c>
      <c r="L964" s="80">
        <f t="shared" si="38"/>
        <v>0</v>
      </c>
      <c r="M964" s="80">
        <f t="shared" si="39"/>
        <v>0</v>
      </c>
    </row>
    <row r="965" spans="1:13" ht="31.5" outlineLevel="5">
      <c r="A965" s="63" t="s">
        <v>671</v>
      </c>
      <c r="B965" s="64" t="s">
        <v>199</v>
      </c>
      <c r="C965" s="64" t="s">
        <v>17</v>
      </c>
      <c r="D965" s="64" t="s">
        <v>22</v>
      </c>
      <c r="E965" s="64" t="s">
        <v>192</v>
      </c>
      <c r="F965" s="65">
        <f>Приложение_6!F442</f>
        <v>178070.85</v>
      </c>
      <c r="G965" s="65"/>
      <c r="I965" s="80">
        <v>178070.85</v>
      </c>
      <c r="L965" s="80">
        <f t="shared" si="38"/>
        <v>0</v>
      </c>
      <c r="M965" s="80">
        <f t="shared" si="39"/>
        <v>0</v>
      </c>
    </row>
    <row r="966" spans="1:13" ht="31.5" outlineLevel="4">
      <c r="A966" s="63" t="s">
        <v>690</v>
      </c>
      <c r="B966" s="64" t="s">
        <v>199</v>
      </c>
      <c r="C966" s="64" t="s">
        <v>47</v>
      </c>
      <c r="D966" s="64" t="s">
        <v>3</v>
      </c>
      <c r="E966" s="64" t="s">
        <v>3</v>
      </c>
      <c r="F966" s="65">
        <f>F967</f>
        <v>282169.68000000017</v>
      </c>
      <c r="G966" s="65"/>
      <c r="I966" s="80">
        <v>1485091.82</v>
      </c>
      <c r="L966" s="80">
        <f t="shared" si="38"/>
        <v>1202922.14</v>
      </c>
      <c r="M966" s="80">
        <f t="shared" si="39"/>
        <v>0</v>
      </c>
    </row>
    <row r="967" spans="1:13" ht="31.5" outlineLevel="5">
      <c r="A967" s="63" t="s">
        <v>671</v>
      </c>
      <c r="B967" s="64" t="s">
        <v>199</v>
      </c>
      <c r="C967" s="64" t="s">
        <v>47</v>
      </c>
      <c r="D967" s="64" t="s">
        <v>22</v>
      </c>
      <c r="E967" s="64" t="s">
        <v>192</v>
      </c>
      <c r="F967" s="65">
        <f>Приложение_6!F443</f>
        <v>282169.68000000017</v>
      </c>
      <c r="G967" s="65"/>
      <c r="I967" s="80">
        <v>1485091.82</v>
      </c>
      <c r="L967" s="80">
        <f t="shared" si="38"/>
        <v>1202922.14</v>
      </c>
      <c r="M967" s="80">
        <f t="shared" si="39"/>
        <v>0</v>
      </c>
    </row>
    <row r="968" spans="1:13" ht="31.5" outlineLevel="4">
      <c r="A968" s="63" t="s">
        <v>691</v>
      </c>
      <c r="B968" s="64" t="s">
        <v>199</v>
      </c>
      <c r="C968" s="64" t="s">
        <v>65</v>
      </c>
      <c r="D968" s="64" t="s">
        <v>3</v>
      </c>
      <c r="E968" s="64" t="s">
        <v>3</v>
      </c>
      <c r="F968" s="65">
        <f>F969</f>
        <v>195388</v>
      </c>
      <c r="G968" s="65"/>
      <c r="I968" s="80">
        <v>194588</v>
      </c>
      <c r="L968" s="80">
        <f t="shared" si="38"/>
        <v>-800</v>
      </c>
      <c r="M968" s="80">
        <f t="shared" si="39"/>
        <v>0</v>
      </c>
    </row>
    <row r="969" spans="1:13" ht="31.5" outlineLevel="5">
      <c r="A969" s="63" t="s">
        <v>671</v>
      </c>
      <c r="B969" s="64" t="s">
        <v>199</v>
      </c>
      <c r="C969" s="64" t="s">
        <v>65</v>
      </c>
      <c r="D969" s="64" t="s">
        <v>22</v>
      </c>
      <c r="E969" s="64" t="s">
        <v>192</v>
      </c>
      <c r="F969" s="65">
        <f>Приложение_6!F444</f>
        <v>195388</v>
      </c>
      <c r="G969" s="65"/>
      <c r="I969" s="80">
        <v>194588</v>
      </c>
      <c r="L969" s="80">
        <f t="shared" si="38"/>
        <v>-800</v>
      </c>
      <c r="M969" s="80">
        <f t="shared" si="39"/>
        <v>0</v>
      </c>
    </row>
    <row r="970" spans="1:13" ht="157.5" customHeight="1" outlineLevel="2">
      <c r="A970" s="63" t="s">
        <v>544</v>
      </c>
      <c r="B970" s="64" t="s">
        <v>200</v>
      </c>
      <c r="C970" s="64" t="s">
        <v>1</v>
      </c>
      <c r="D970" s="64" t="s">
        <v>3</v>
      </c>
      <c r="E970" s="64" t="s">
        <v>3</v>
      </c>
      <c r="F970" s="65">
        <f>F971+F976</f>
        <v>10184752.99</v>
      </c>
      <c r="G970" s="65"/>
      <c r="I970" s="80">
        <v>9871044.22</v>
      </c>
      <c r="L970" s="80">
        <f aca="true" t="shared" si="40" ref="L970:L1044">I970-F970</f>
        <v>-313708.76999999955</v>
      </c>
      <c r="M970" s="80">
        <f aca="true" t="shared" si="41" ref="M970:M1044">J970-G970</f>
        <v>0</v>
      </c>
    </row>
    <row r="971" spans="1:13" ht="126" outlineLevel="3">
      <c r="A971" s="63" t="s">
        <v>443</v>
      </c>
      <c r="B971" s="64" t="s">
        <v>201</v>
      </c>
      <c r="C971" s="64" t="s">
        <v>1</v>
      </c>
      <c r="D971" s="64" t="s">
        <v>3</v>
      </c>
      <c r="E971" s="64" t="s">
        <v>3</v>
      </c>
      <c r="F971" s="65">
        <f>F972+F974</f>
        <v>9737645.8</v>
      </c>
      <c r="G971" s="65"/>
      <c r="I971" s="80">
        <v>9586044.22</v>
      </c>
      <c r="L971" s="80">
        <f t="shared" si="40"/>
        <v>-151601.58000000007</v>
      </c>
      <c r="M971" s="80">
        <f t="shared" si="41"/>
        <v>0</v>
      </c>
    </row>
    <row r="972" spans="1:13" ht="141.75" outlineLevel="4">
      <c r="A972" s="63" t="s">
        <v>856</v>
      </c>
      <c r="B972" s="64" t="s">
        <v>201</v>
      </c>
      <c r="C972" s="64" t="s">
        <v>10</v>
      </c>
      <c r="D972" s="64" t="s">
        <v>3</v>
      </c>
      <c r="E972" s="64" t="s">
        <v>3</v>
      </c>
      <c r="F972" s="65">
        <f>F973</f>
        <v>9186896.15</v>
      </c>
      <c r="G972" s="65"/>
      <c r="I972" s="80">
        <v>9186896.15</v>
      </c>
      <c r="L972" s="80">
        <f t="shared" si="40"/>
        <v>0</v>
      </c>
      <c r="M972" s="80">
        <f t="shared" si="41"/>
        <v>0</v>
      </c>
    </row>
    <row r="973" spans="1:13" ht="31.5" outlineLevel="5">
      <c r="A973" s="63" t="s">
        <v>671</v>
      </c>
      <c r="B973" s="64" t="s">
        <v>201</v>
      </c>
      <c r="C973" s="64" t="s">
        <v>10</v>
      </c>
      <c r="D973" s="64" t="s">
        <v>22</v>
      </c>
      <c r="E973" s="64" t="s">
        <v>192</v>
      </c>
      <c r="F973" s="65">
        <f>Приложение_6!F447</f>
        <v>9186896.15</v>
      </c>
      <c r="G973" s="65"/>
      <c r="I973" s="80">
        <v>9186896.15</v>
      </c>
      <c r="L973" s="80">
        <f t="shared" si="40"/>
        <v>0</v>
      </c>
      <c r="M973" s="80">
        <f t="shared" si="41"/>
        <v>0</v>
      </c>
    </row>
    <row r="974" spans="1:13" ht="63" outlineLevel="4">
      <c r="A974" s="63" t="s">
        <v>689</v>
      </c>
      <c r="B974" s="64" t="s">
        <v>201</v>
      </c>
      <c r="C974" s="64" t="s">
        <v>17</v>
      </c>
      <c r="D974" s="64" t="s">
        <v>3</v>
      </c>
      <c r="E974" s="64" t="s">
        <v>3</v>
      </c>
      <c r="F974" s="65">
        <f>F975</f>
        <v>550749.65</v>
      </c>
      <c r="G974" s="65"/>
      <c r="I974" s="80">
        <v>399148.07</v>
      </c>
      <c r="L974" s="80">
        <f t="shared" si="40"/>
        <v>-151601.58000000002</v>
      </c>
      <c r="M974" s="80">
        <f t="shared" si="41"/>
        <v>0</v>
      </c>
    </row>
    <row r="975" spans="1:13" ht="31.5" outlineLevel="5">
      <c r="A975" s="63" t="s">
        <v>671</v>
      </c>
      <c r="B975" s="64" t="s">
        <v>201</v>
      </c>
      <c r="C975" s="64" t="s">
        <v>17</v>
      </c>
      <c r="D975" s="64" t="s">
        <v>22</v>
      </c>
      <c r="E975" s="64" t="s">
        <v>192</v>
      </c>
      <c r="F975" s="65">
        <f>Приложение_6!F448</f>
        <v>550749.65</v>
      </c>
      <c r="G975" s="65"/>
      <c r="I975" s="80">
        <v>399148.07</v>
      </c>
      <c r="L975" s="80">
        <f t="shared" si="40"/>
        <v>-151601.58000000002</v>
      </c>
      <c r="M975" s="80">
        <f t="shared" si="41"/>
        <v>0</v>
      </c>
    </row>
    <row r="976" spans="1:13" ht="126" outlineLevel="3">
      <c r="A976" s="63" t="s">
        <v>432</v>
      </c>
      <c r="B976" s="64" t="s">
        <v>202</v>
      </c>
      <c r="C976" s="64" t="s">
        <v>1</v>
      </c>
      <c r="D976" s="64" t="s">
        <v>3</v>
      </c>
      <c r="E976" s="64" t="s">
        <v>3</v>
      </c>
      <c r="F976" s="65">
        <f>F977</f>
        <v>447107.18999999994</v>
      </c>
      <c r="G976" s="65"/>
      <c r="I976" s="80">
        <v>285000</v>
      </c>
      <c r="L976" s="80">
        <f t="shared" si="40"/>
        <v>-162107.18999999994</v>
      </c>
      <c r="M976" s="80">
        <f t="shared" si="41"/>
        <v>0</v>
      </c>
    </row>
    <row r="977" spans="1:13" ht="141.75" outlineLevel="4">
      <c r="A977" s="63" t="s">
        <v>856</v>
      </c>
      <c r="B977" s="64" t="s">
        <v>202</v>
      </c>
      <c r="C977" s="64" t="s">
        <v>10</v>
      </c>
      <c r="D977" s="64" t="s">
        <v>3</v>
      </c>
      <c r="E977" s="64" t="s">
        <v>3</v>
      </c>
      <c r="F977" s="65">
        <f>F978</f>
        <v>447107.18999999994</v>
      </c>
      <c r="G977" s="65"/>
      <c r="I977" s="80">
        <v>285000</v>
      </c>
      <c r="L977" s="80">
        <f t="shared" si="40"/>
        <v>-162107.18999999994</v>
      </c>
      <c r="M977" s="80">
        <f t="shared" si="41"/>
        <v>0</v>
      </c>
    </row>
    <row r="978" spans="1:13" ht="31.5" outlineLevel="5">
      <c r="A978" s="63" t="s">
        <v>671</v>
      </c>
      <c r="B978" s="64" t="s">
        <v>202</v>
      </c>
      <c r="C978" s="64" t="s">
        <v>10</v>
      </c>
      <c r="D978" s="64" t="s">
        <v>22</v>
      </c>
      <c r="E978" s="64" t="s">
        <v>192</v>
      </c>
      <c r="F978" s="65">
        <f>Приложение_6!F450</f>
        <v>447107.18999999994</v>
      </c>
      <c r="G978" s="65"/>
      <c r="I978" s="80">
        <v>285000</v>
      </c>
      <c r="L978" s="80">
        <f t="shared" si="40"/>
        <v>-162107.18999999994</v>
      </c>
      <c r="M978" s="80">
        <f t="shared" si="41"/>
        <v>0</v>
      </c>
    </row>
    <row r="979" spans="1:13" ht="189" outlineLevel="2">
      <c r="A979" s="63" t="s">
        <v>545</v>
      </c>
      <c r="B979" s="64" t="s">
        <v>203</v>
      </c>
      <c r="C979" s="64" t="s">
        <v>1</v>
      </c>
      <c r="D979" s="64" t="s">
        <v>3</v>
      </c>
      <c r="E979" s="64" t="s">
        <v>3</v>
      </c>
      <c r="F979" s="65">
        <f>F980</f>
        <v>5819168.09</v>
      </c>
      <c r="G979" s="65"/>
      <c r="I979" s="80">
        <v>6035572.13</v>
      </c>
      <c r="L979" s="80">
        <f t="shared" si="40"/>
        <v>216404.04000000004</v>
      </c>
      <c r="M979" s="80">
        <f t="shared" si="41"/>
        <v>0</v>
      </c>
    </row>
    <row r="980" spans="1:13" ht="126" outlineLevel="3">
      <c r="A980" s="63" t="s">
        <v>443</v>
      </c>
      <c r="B980" s="64" t="s">
        <v>204</v>
      </c>
      <c r="C980" s="64" t="s">
        <v>1</v>
      </c>
      <c r="D980" s="64" t="s">
        <v>3</v>
      </c>
      <c r="E980" s="64" t="s">
        <v>3</v>
      </c>
      <c r="F980" s="65">
        <f>F981+F983</f>
        <v>5819168.09</v>
      </c>
      <c r="G980" s="65"/>
      <c r="I980" s="80">
        <v>6035572.13</v>
      </c>
      <c r="L980" s="80">
        <f t="shared" si="40"/>
        <v>216404.04000000004</v>
      </c>
      <c r="M980" s="80">
        <f t="shared" si="41"/>
        <v>0</v>
      </c>
    </row>
    <row r="981" spans="1:13" ht="141.75" outlineLevel="4">
      <c r="A981" s="63" t="s">
        <v>856</v>
      </c>
      <c r="B981" s="64" t="s">
        <v>204</v>
      </c>
      <c r="C981" s="64" t="s">
        <v>10</v>
      </c>
      <c r="D981" s="64" t="s">
        <v>3</v>
      </c>
      <c r="E981" s="64" t="s">
        <v>3</v>
      </c>
      <c r="F981" s="65">
        <f>F982</f>
        <v>5305905.13</v>
      </c>
      <c r="G981" s="65"/>
      <c r="I981" s="80">
        <v>5630310.41</v>
      </c>
      <c r="L981" s="80">
        <f t="shared" si="40"/>
        <v>324405.28000000026</v>
      </c>
      <c r="M981" s="80">
        <f t="shared" si="41"/>
        <v>0</v>
      </c>
    </row>
    <row r="982" spans="1:13" ht="31.5" outlineLevel="5">
      <c r="A982" s="63" t="s">
        <v>671</v>
      </c>
      <c r="B982" s="64" t="s">
        <v>204</v>
      </c>
      <c r="C982" s="64" t="s">
        <v>10</v>
      </c>
      <c r="D982" s="64" t="s">
        <v>22</v>
      </c>
      <c r="E982" s="64" t="s">
        <v>192</v>
      </c>
      <c r="F982" s="65">
        <f>Приложение_6!F453</f>
        <v>5305905.13</v>
      </c>
      <c r="G982" s="65"/>
      <c r="I982" s="80">
        <v>5630310.41</v>
      </c>
      <c r="L982" s="80">
        <f t="shared" si="40"/>
        <v>324405.28000000026</v>
      </c>
      <c r="M982" s="80">
        <f t="shared" si="41"/>
        <v>0</v>
      </c>
    </row>
    <row r="983" spans="1:13" ht="63" outlineLevel="4">
      <c r="A983" s="63" t="s">
        <v>689</v>
      </c>
      <c r="B983" s="64" t="s">
        <v>204</v>
      </c>
      <c r="C983" s="64" t="s">
        <v>17</v>
      </c>
      <c r="D983" s="64" t="s">
        <v>3</v>
      </c>
      <c r="E983" s="64" t="s">
        <v>3</v>
      </c>
      <c r="F983" s="65">
        <f>F984</f>
        <v>513262.95999999996</v>
      </c>
      <c r="G983" s="65"/>
      <c r="I983" s="80">
        <v>405261.72</v>
      </c>
      <c r="L983" s="80">
        <f t="shared" si="40"/>
        <v>-108001.23999999999</v>
      </c>
      <c r="M983" s="80">
        <f t="shared" si="41"/>
        <v>0</v>
      </c>
    </row>
    <row r="984" spans="1:13" ht="31.5" outlineLevel="5">
      <c r="A984" s="63" t="s">
        <v>671</v>
      </c>
      <c r="B984" s="64" t="s">
        <v>204</v>
      </c>
      <c r="C984" s="64" t="s">
        <v>17</v>
      </c>
      <c r="D984" s="64" t="s">
        <v>22</v>
      </c>
      <c r="E984" s="64" t="s">
        <v>192</v>
      </c>
      <c r="F984" s="65">
        <f>Приложение_6!F454</f>
        <v>513262.95999999996</v>
      </c>
      <c r="G984" s="65"/>
      <c r="I984" s="80">
        <v>405261.72</v>
      </c>
      <c r="L984" s="80">
        <f t="shared" si="40"/>
        <v>-108001.23999999999</v>
      </c>
      <c r="M984" s="80">
        <f t="shared" si="41"/>
        <v>0</v>
      </c>
    </row>
    <row r="985" spans="1:13" ht="47.25" outlineLevel="1">
      <c r="A985" s="70" t="s">
        <v>609</v>
      </c>
      <c r="B985" s="71" t="s">
        <v>7</v>
      </c>
      <c r="C985" s="71" t="s">
        <v>1</v>
      </c>
      <c r="D985" s="71" t="s">
        <v>3</v>
      </c>
      <c r="E985" s="71" t="s">
        <v>3</v>
      </c>
      <c r="F985" s="72">
        <f>F986+F998+F1004</f>
        <v>1080198.95</v>
      </c>
      <c r="G985" s="72"/>
      <c r="I985" s="80">
        <v>1770876.88</v>
      </c>
      <c r="L985" s="80">
        <f t="shared" si="40"/>
        <v>690677.9299999999</v>
      </c>
      <c r="M985" s="80">
        <f t="shared" si="41"/>
        <v>0</v>
      </c>
    </row>
    <row r="986" spans="1:13" ht="110.25" outlineLevel="2">
      <c r="A986" s="63" t="s">
        <v>488</v>
      </c>
      <c r="B986" s="64" t="s">
        <v>15</v>
      </c>
      <c r="C986" s="64" t="s">
        <v>1</v>
      </c>
      <c r="D986" s="64" t="s">
        <v>3</v>
      </c>
      <c r="E986" s="64" t="s">
        <v>3</v>
      </c>
      <c r="F986" s="65">
        <f>F987</f>
        <v>364065.03</v>
      </c>
      <c r="G986" s="65"/>
      <c r="I986" s="80">
        <v>745206.43</v>
      </c>
      <c r="L986" s="80">
        <f t="shared" si="40"/>
        <v>381141.4</v>
      </c>
      <c r="M986" s="80">
        <f t="shared" si="41"/>
        <v>0</v>
      </c>
    </row>
    <row r="987" spans="1:13" ht="47.25" outlineLevel="3">
      <c r="A987" s="63" t="s">
        <v>430</v>
      </c>
      <c r="B987" s="64" t="s">
        <v>16</v>
      </c>
      <c r="C987" s="64" t="s">
        <v>1</v>
      </c>
      <c r="D987" s="64" t="s">
        <v>3</v>
      </c>
      <c r="E987" s="64" t="s">
        <v>3</v>
      </c>
      <c r="F987" s="65">
        <f>F988+F993</f>
        <v>364065.03</v>
      </c>
      <c r="G987" s="65"/>
      <c r="I987" s="80">
        <v>745206.43</v>
      </c>
      <c r="L987" s="80">
        <f t="shared" si="40"/>
        <v>381141.4</v>
      </c>
      <c r="M987" s="80">
        <f t="shared" si="41"/>
        <v>0</v>
      </c>
    </row>
    <row r="988" spans="1:13" ht="141.75" outlineLevel="4">
      <c r="A988" s="63" t="s">
        <v>856</v>
      </c>
      <c r="B988" s="64" t="s">
        <v>16</v>
      </c>
      <c r="C988" s="64" t="s">
        <v>10</v>
      </c>
      <c r="D988" s="64" t="s">
        <v>3</v>
      </c>
      <c r="E988" s="64" t="s">
        <v>3</v>
      </c>
      <c r="F988" s="65">
        <f>F990+F991+F992+F989</f>
        <v>151156.95</v>
      </c>
      <c r="G988" s="65"/>
      <c r="I988" s="80">
        <v>227356.95</v>
      </c>
      <c r="L988" s="80">
        <f t="shared" si="40"/>
        <v>76200</v>
      </c>
      <c r="M988" s="80">
        <f t="shared" si="41"/>
        <v>0</v>
      </c>
    </row>
    <row r="989" spans="1:13" ht="67.5" customHeight="1" hidden="1" outlineLevel="4">
      <c r="A989" s="19" t="s">
        <v>659</v>
      </c>
      <c r="B989" s="64" t="s">
        <v>16</v>
      </c>
      <c r="C989" s="64" t="s">
        <v>10</v>
      </c>
      <c r="D989" s="64" t="s">
        <v>2</v>
      </c>
      <c r="E989" s="64" t="s">
        <v>5</v>
      </c>
      <c r="F989" s="65">
        <f>Приложение_6!F17</f>
        <v>0</v>
      </c>
      <c r="G989" s="65"/>
      <c r="I989" s="80"/>
      <c r="L989" s="80"/>
      <c r="M989" s="80"/>
    </row>
    <row r="990" spans="1:13" ht="94.5" outlineLevel="5">
      <c r="A990" s="63" t="s">
        <v>660</v>
      </c>
      <c r="B990" s="64" t="s">
        <v>16</v>
      </c>
      <c r="C990" s="64" t="s">
        <v>10</v>
      </c>
      <c r="D990" s="64" t="s">
        <v>2</v>
      </c>
      <c r="E990" s="64" t="s">
        <v>14</v>
      </c>
      <c r="F990" s="65">
        <f>Приложение_6!F35</f>
        <v>400</v>
      </c>
      <c r="G990" s="65"/>
      <c r="I990" s="80">
        <v>32300</v>
      </c>
      <c r="L990" s="80">
        <f t="shared" si="40"/>
        <v>31900</v>
      </c>
      <c r="M990" s="80">
        <f t="shared" si="41"/>
        <v>0</v>
      </c>
    </row>
    <row r="991" spans="1:13" ht="126" outlineLevel="5">
      <c r="A991" s="63" t="s">
        <v>661</v>
      </c>
      <c r="B991" s="64" t="s">
        <v>16</v>
      </c>
      <c r="C991" s="64" t="s">
        <v>10</v>
      </c>
      <c r="D991" s="64" t="s">
        <v>2</v>
      </c>
      <c r="E991" s="64" t="s">
        <v>22</v>
      </c>
      <c r="F991" s="65">
        <f>Приложение_6!F116</f>
        <v>120056.95</v>
      </c>
      <c r="G991" s="65"/>
      <c r="I991" s="80">
        <v>164356.95</v>
      </c>
      <c r="L991" s="80">
        <f t="shared" si="40"/>
        <v>44300.000000000015</v>
      </c>
      <c r="M991" s="80">
        <f t="shared" si="41"/>
        <v>0</v>
      </c>
    </row>
    <row r="992" spans="1:13" ht="94.5" outlineLevel="5">
      <c r="A992" s="63" t="s">
        <v>662</v>
      </c>
      <c r="B992" s="64" t="s">
        <v>16</v>
      </c>
      <c r="C992" s="64" t="s">
        <v>10</v>
      </c>
      <c r="D992" s="64" t="s">
        <v>2</v>
      </c>
      <c r="E992" s="64" t="s">
        <v>60</v>
      </c>
      <c r="F992" s="65">
        <f>Приложение_6!F130</f>
        <v>30700</v>
      </c>
      <c r="G992" s="65"/>
      <c r="I992" s="80">
        <v>30700</v>
      </c>
      <c r="L992" s="80">
        <f t="shared" si="40"/>
        <v>0</v>
      </c>
      <c r="M992" s="80">
        <f t="shared" si="41"/>
        <v>0</v>
      </c>
    </row>
    <row r="993" spans="1:13" ht="63" outlineLevel="4">
      <c r="A993" s="63" t="s">
        <v>689</v>
      </c>
      <c r="B993" s="64" t="s">
        <v>16</v>
      </c>
      <c r="C993" s="64" t="s">
        <v>17</v>
      </c>
      <c r="D993" s="64" t="s">
        <v>3</v>
      </c>
      <c r="E993" s="64" t="s">
        <v>3</v>
      </c>
      <c r="F993" s="65">
        <f>F995+F996+F997+F994</f>
        <v>212908.08000000002</v>
      </c>
      <c r="G993" s="65"/>
      <c r="I993" s="80">
        <v>517849.48</v>
      </c>
      <c r="L993" s="80">
        <f t="shared" si="40"/>
        <v>304941.39999999997</v>
      </c>
      <c r="M993" s="80">
        <f t="shared" si="41"/>
        <v>0</v>
      </c>
    </row>
    <row r="994" spans="1:13" ht="63" hidden="1" outlineLevel="4">
      <c r="A994" s="19" t="s">
        <v>659</v>
      </c>
      <c r="B994" s="64" t="s">
        <v>16</v>
      </c>
      <c r="C994" s="64" t="s">
        <v>17</v>
      </c>
      <c r="D994" s="64" t="s">
        <v>2</v>
      </c>
      <c r="E994" s="64" t="s">
        <v>5</v>
      </c>
      <c r="F994" s="65">
        <f>Приложение_6!F18</f>
        <v>0</v>
      </c>
      <c r="G994" s="65"/>
      <c r="I994" s="80"/>
      <c r="L994" s="80"/>
      <c r="M994" s="80"/>
    </row>
    <row r="995" spans="1:13" ht="94.5" outlineLevel="5">
      <c r="A995" s="63" t="s">
        <v>660</v>
      </c>
      <c r="B995" s="64" t="s">
        <v>16</v>
      </c>
      <c r="C995" s="64" t="s">
        <v>17</v>
      </c>
      <c r="D995" s="64" t="s">
        <v>2</v>
      </c>
      <c r="E995" s="64" t="s">
        <v>14</v>
      </c>
      <c r="F995" s="65">
        <f>Приложение_6!F36</f>
        <v>6900</v>
      </c>
      <c r="G995" s="65"/>
      <c r="I995" s="80">
        <v>39500</v>
      </c>
      <c r="L995" s="80">
        <f t="shared" si="40"/>
        <v>32600</v>
      </c>
      <c r="M995" s="80">
        <f t="shared" si="41"/>
        <v>0</v>
      </c>
    </row>
    <row r="996" spans="1:13" ht="126" outlineLevel="5">
      <c r="A996" s="63" t="s">
        <v>661</v>
      </c>
      <c r="B996" s="64" t="s">
        <v>16</v>
      </c>
      <c r="C996" s="64" t="s">
        <v>17</v>
      </c>
      <c r="D996" s="64" t="s">
        <v>2</v>
      </c>
      <c r="E996" s="64" t="s">
        <v>22</v>
      </c>
      <c r="F996" s="65">
        <f>Приложение_6!F117</f>
        <v>179308.08000000002</v>
      </c>
      <c r="G996" s="65"/>
      <c r="I996" s="80">
        <v>451649.48</v>
      </c>
      <c r="L996" s="80">
        <f t="shared" si="40"/>
        <v>272341.39999999997</v>
      </c>
      <c r="M996" s="80">
        <f t="shared" si="41"/>
        <v>0</v>
      </c>
    </row>
    <row r="997" spans="1:13" ht="94.5" outlineLevel="5">
      <c r="A997" s="63" t="s">
        <v>662</v>
      </c>
      <c r="B997" s="64" t="s">
        <v>16</v>
      </c>
      <c r="C997" s="64" t="s">
        <v>17</v>
      </c>
      <c r="D997" s="64" t="s">
        <v>2</v>
      </c>
      <c r="E997" s="64" t="s">
        <v>60</v>
      </c>
      <c r="F997" s="65">
        <f>Приложение_6!F131</f>
        <v>26700</v>
      </c>
      <c r="G997" s="65"/>
      <c r="I997" s="80">
        <v>26700</v>
      </c>
      <c r="L997" s="80">
        <f t="shared" si="40"/>
        <v>0</v>
      </c>
      <c r="M997" s="80">
        <f t="shared" si="41"/>
        <v>0</v>
      </c>
    </row>
    <row r="998" spans="1:13" ht="31.5" outlineLevel="2">
      <c r="A998" s="63" t="s">
        <v>489</v>
      </c>
      <c r="B998" s="64" t="s">
        <v>18</v>
      </c>
      <c r="C998" s="64" t="s">
        <v>1</v>
      </c>
      <c r="D998" s="64" t="s">
        <v>3</v>
      </c>
      <c r="E998" s="64" t="s">
        <v>3</v>
      </c>
      <c r="F998" s="65">
        <f>F999</f>
        <v>443433.92</v>
      </c>
      <c r="G998" s="65"/>
      <c r="I998" s="80">
        <v>402433.92</v>
      </c>
      <c r="L998" s="80">
        <f t="shared" si="40"/>
        <v>-41000</v>
      </c>
      <c r="M998" s="80">
        <f t="shared" si="41"/>
        <v>0</v>
      </c>
    </row>
    <row r="999" spans="1:13" ht="47.25" outlineLevel="3">
      <c r="A999" s="63" t="s">
        <v>430</v>
      </c>
      <c r="B999" s="64" t="s">
        <v>19</v>
      </c>
      <c r="C999" s="64" t="s">
        <v>1</v>
      </c>
      <c r="D999" s="64" t="s">
        <v>3</v>
      </c>
      <c r="E999" s="64" t="s">
        <v>3</v>
      </c>
      <c r="F999" s="65">
        <f>F1000</f>
        <v>443433.92</v>
      </c>
      <c r="G999" s="65"/>
      <c r="I999" s="80">
        <v>402433.92</v>
      </c>
      <c r="L999" s="80">
        <f t="shared" si="40"/>
        <v>-41000</v>
      </c>
      <c r="M999" s="80">
        <f t="shared" si="41"/>
        <v>0</v>
      </c>
    </row>
    <row r="1000" spans="1:13" ht="63" outlineLevel="4">
      <c r="A1000" s="63" t="s">
        <v>689</v>
      </c>
      <c r="B1000" s="64" t="s">
        <v>19</v>
      </c>
      <c r="C1000" s="64" t="s">
        <v>17</v>
      </c>
      <c r="D1000" s="64" t="s">
        <v>3</v>
      </c>
      <c r="E1000" s="64" t="s">
        <v>3</v>
      </c>
      <c r="F1000" s="65">
        <f>F1001+F1002+F1003</f>
        <v>443433.92</v>
      </c>
      <c r="G1000" s="65"/>
      <c r="I1000" s="80">
        <v>402433.92</v>
      </c>
      <c r="L1000" s="80">
        <f t="shared" si="40"/>
        <v>-41000</v>
      </c>
      <c r="M1000" s="80">
        <f t="shared" si="41"/>
        <v>0</v>
      </c>
    </row>
    <row r="1001" spans="1:13" ht="94.5" outlineLevel="5">
      <c r="A1001" s="63" t="s">
        <v>660</v>
      </c>
      <c r="B1001" s="64" t="s">
        <v>19</v>
      </c>
      <c r="C1001" s="64" t="s">
        <v>17</v>
      </c>
      <c r="D1001" s="64" t="s">
        <v>2</v>
      </c>
      <c r="E1001" s="64" t="s">
        <v>14</v>
      </c>
      <c r="F1001" s="65">
        <f>Приложение_6!F39</f>
        <v>9132</v>
      </c>
      <c r="G1001" s="65"/>
      <c r="I1001" s="80">
        <v>9132</v>
      </c>
      <c r="L1001" s="80">
        <f t="shared" si="40"/>
        <v>0</v>
      </c>
      <c r="M1001" s="80">
        <f t="shared" si="41"/>
        <v>0</v>
      </c>
    </row>
    <row r="1002" spans="1:13" ht="126" outlineLevel="5">
      <c r="A1002" s="63" t="s">
        <v>661</v>
      </c>
      <c r="B1002" s="64" t="s">
        <v>19</v>
      </c>
      <c r="C1002" s="64" t="s">
        <v>17</v>
      </c>
      <c r="D1002" s="64" t="s">
        <v>2</v>
      </c>
      <c r="E1002" s="64" t="s">
        <v>22</v>
      </c>
      <c r="F1002" s="65">
        <f>Приложение_6!F120</f>
        <v>418187.92</v>
      </c>
      <c r="G1002" s="65"/>
      <c r="I1002" s="80">
        <v>377187.92</v>
      </c>
      <c r="L1002" s="80">
        <f t="shared" si="40"/>
        <v>-41000</v>
      </c>
      <c r="M1002" s="80">
        <f t="shared" si="41"/>
        <v>0</v>
      </c>
    </row>
    <row r="1003" spans="1:13" ht="94.5" outlineLevel="5">
      <c r="A1003" s="63" t="s">
        <v>662</v>
      </c>
      <c r="B1003" s="64" t="s">
        <v>19</v>
      </c>
      <c r="C1003" s="64" t="s">
        <v>17</v>
      </c>
      <c r="D1003" s="64" t="s">
        <v>2</v>
      </c>
      <c r="E1003" s="64" t="s">
        <v>60</v>
      </c>
      <c r="F1003" s="65">
        <f>Приложение_6!F134</f>
        <v>16114</v>
      </c>
      <c r="G1003" s="65"/>
      <c r="I1003" s="80">
        <v>16114</v>
      </c>
      <c r="L1003" s="80">
        <f t="shared" si="40"/>
        <v>0</v>
      </c>
      <c r="M1003" s="80">
        <f t="shared" si="41"/>
        <v>0</v>
      </c>
    </row>
    <row r="1004" spans="1:13" ht="63" outlineLevel="2">
      <c r="A1004" s="63" t="s">
        <v>487</v>
      </c>
      <c r="B1004" s="64" t="s">
        <v>8</v>
      </c>
      <c r="C1004" s="64" t="s">
        <v>1</v>
      </c>
      <c r="D1004" s="64" t="s">
        <v>3</v>
      </c>
      <c r="E1004" s="64" t="s">
        <v>3</v>
      </c>
      <c r="F1004" s="65">
        <f>F1005</f>
        <v>272700</v>
      </c>
      <c r="G1004" s="65"/>
      <c r="I1004" s="80">
        <v>623236.53</v>
      </c>
      <c r="L1004" s="80">
        <f t="shared" si="40"/>
        <v>350536.53</v>
      </c>
      <c r="M1004" s="80">
        <f t="shared" si="41"/>
        <v>0</v>
      </c>
    </row>
    <row r="1005" spans="1:13" ht="47.25" outlineLevel="3">
      <c r="A1005" s="63" t="s">
        <v>430</v>
      </c>
      <c r="B1005" s="64" t="s">
        <v>9</v>
      </c>
      <c r="C1005" s="64" t="s">
        <v>1</v>
      </c>
      <c r="D1005" s="64" t="s">
        <v>3</v>
      </c>
      <c r="E1005" s="64" t="s">
        <v>3</v>
      </c>
      <c r="F1005" s="65">
        <f>F1006+F1009</f>
        <v>272700</v>
      </c>
      <c r="G1005" s="65"/>
      <c r="I1005" s="80">
        <v>623236.53</v>
      </c>
      <c r="L1005" s="80">
        <f t="shared" si="40"/>
        <v>350536.53</v>
      </c>
      <c r="M1005" s="80">
        <f t="shared" si="41"/>
        <v>0</v>
      </c>
    </row>
    <row r="1006" spans="1:13" ht="141.75" outlineLevel="4">
      <c r="A1006" s="63" t="s">
        <v>856</v>
      </c>
      <c r="B1006" s="64" t="s">
        <v>9</v>
      </c>
      <c r="C1006" s="64" t="s">
        <v>10</v>
      </c>
      <c r="D1006" s="64" t="s">
        <v>3</v>
      </c>
      <c r="E1006" s="64" t="s">
        <v>3</v>
      </c>
      <c r="F1006" s="65">
        <f>F1007+F1008</f>
        <v>183500</v>
      </c>
      <c r="G1006" s="65"/>
      <c r="I1006" s="80">
        <v>489036.53</v>
      </c>
      <c r="L1006" s="80">
        <f t="shared" si="40"/>
        <v>305536.53</v>
      </c>
      <c r="M1006" s="80">
        <f t="shared" si="41"/>
        <v>0</v>
      </c>
    </row>
    <row r="1007" spans="1:13" ht="63" hidden="1" outlineLevel="5">
      <c r="A1007" s="63" t="s">
        <v>659</v>
      </c>
      <c r="B1007" s="64" t="s">
        <v>9</v>
      </c>
      <c r="C1007" s="64" t="s">
        <v>10</v>
      </c>
      <c r="D1007" s="64" t="s">
        <v>2</v>
      </c>
      <c r="E1007" s="64" t="s">
        <v>5</v>
      </c>
      <c r="F1007" s="65">
        <f>Приложение_6!F21</f>
        <v>0</v>
      </c>
      <c r="G1007" s="65"/>
      <c r="I1007" s="80">
        <v>96826.49</v>
      </c>
      <c r="L1007" s="80">
        <f t="shared" si="40"/>
        <v>96826.49</v>
      </c>
      <c r="M1007" s="80">
        <f t="shared" si="41"/>
        <v>0</v>
      </c>
    </row>
    <row r="1008" spans="1:13" ht="126" outlineLevel="5">
      <c r="A1008" s="63" t="s">
        <v>661</v>
      </c>
      <c r="B1008" s="64" t="s">
        <v>9</v>
      </c>
      <c r="C1008" s="64" t="s">
        <v>10</v>
      </c>
      <c r="D1008" s="64" t="s">
        <v>2</v>
      </c>
      <c r="E1008" s="64" t="s">
        <v>22</v>
      </c>
      <c r="F1008" s="65">
        <f>Приложение_6!F123</f>
        <v>183500</v>
      </c>
      <c r="G1008" s="65"/>
      <c r="I1008" s="80">
        <v>392210.04</v>
      </c>
      <c r="L1008" s="80">
        <f t="shared" si="40"/>
        <v>208710.03999999998</v>
      </c>
      <c r="M1008" s="80">
        <f t="shared" si="41"/>
        <v>0</v>
      </c>
    </row>
    <row r="1009" spans="1:13" ht="63" outlineLevel="4">
      <c r="A1009" s="63" t="s">
        <v>689</v>
      </c>
      <c r="B1009" s="64" t="s">
        <v>9</v>
      </c>
      <c r="C1009" s="64" t="s">
        <v>17</v>
      </c>
      <c r="D1009" s="64" t="s">
        <v>3</v>
      </c>
      <c r="E1009" s="64" t="s">
        <v>3</v>
      </c>
      <c r="F1009" s="65">
        <f>F1010</f>
        <v>89200</v>
      </c>
      <c r="G1009" s="65"/>
      <c r="I1009" s="80">
        <v>134200</v>
      </c>
      <c r="L1009" s="80">
        <f t="shared" si="40"/>
        <v>45000</v>
      </c>
      <c r="M1009" s="80">
        <f t="shared" si="41"/>
        <v>0</v>
      </c>
    </row>
    <row r="1010" spans="1:13" ht="126" outlineLevel="5">
      <c r="A1010" s="63" t="s">
        <v>661</v>
      </c>
      <c r="B1010" s="64" t="s">
        <v>9</v>
      </c>
      <c r="C1010" s="64" t="s">
        <v>17</v>
      </c>
      <c r="D1010" s="64" t="s">
        <v>2</v>
      </c>
      <c r="E1010" s="64" t="s">
        <v>22</v>
      </c>
      <c r="F1010" s="65">
        <f>Приложение_6!F124</f>
        <v>89200</v>
      </c>
      <c r="G1010" s="65"/>
      <c r="I1010" s="80">
        <v>134200</v>
      </c>
      <c r="L1010" s="80">
        <f t="shared" si="40"/>
        <v>45000</v>
      </c>
      <c r="M1010" s="80">
        <f t="shared" si="41"/>
        <v>0</v>
      </c>
    </row>
    <row r="1011" spans="1:13" ht="31.5">
      <c r="A1011" s="70" t="s">
        <v>868</v>
      </c>
      <c r="B1011" s="71" t="s">
        <v>11</v>
      </c>
      <c r="C1011" s="71" t="s">
        <v>1</v>
      </c>
      <c r="D1011" s="71" t="s">
        <v>3</v>
      </c>
      <c r="E1011" s="71" t="s">
        <v>3</v>
      </c>
      <c r="F1011" s="72">
        <f>F1012+F1015+F1018+F1026+F1032+F1036+F1040+F1045+F1053+F1056+F1059+F1050+F1029+F1021</f>
        <v>36633241.1</v>
      </c>
      <c r="G1011" s="72"/>
      <c r="I1011" s="80">
        <v>32401430.89</v>
      </c>
      <c r="L1011" s="80">
        <f t="shared" si="40"/>
        <v>-4231810.210000001</v>
      </c>
      <c r="M1011" s="80">
        <f t="shared" si="41"/>
        <v>0</v>
      </c>
    </row>
    <row r="1012" spans="1:13" ht="126" outlineLevel="3">
      <c r="A1012" s="63" t="s">
        <v>443</v>
      </c>
      <c r="B1012" s="64" t="s">
        <v>238</v>
      </c>
      <c r="C1012" s="64" t="s">
        <v>1</v>
      </c>
      <c r="D1012" s="64" t="s">
        <v>3</v>
      </c>
      <c r="E1012" s="64" t="s">
        <v>3</v>
      </c>
      <c r="F1012" s="65">
        <f>F1013</f>
        <v>628992.52</v>
      </c>
      <c r="G1012" s="65"/>
      <c r="H1012" s="80"/>
      <c r="I1012" s="80">
        <v>2114816.52</v>
      </c>
      <c r="L1012" s="80">
        <f t="shared" si="40"/>
        <v>1485824</v>
      </c>
      <c r="M1012" s="80">
        <f t="shared" si="41"/>
        <v>0</v>
      </c>
    </row>
    <row r="1013" spans="1:13" ht="78.75" outlineLevel="4">
      <c r="A1013" s="63" t="s">
        <v>692</v>
      </c>
      <c r="B1013" s="64" t="s">
        <v>238</v>
      </c>
      <c r="C1013" s="64" t="s">
        <v>70</v>
      </c>
      <c r="D1013" s="64" t="s">
        <v>3</v>
      </c>
      <c r="E1013" s="64" t="s">
        <v>3</v>
      </c>
      <c r="F1013" s="65">
        <f>F1014</f>
        <v>628992.52</v>
      </c>
      <c r="G1013" s="65"/>
      <c r="I1013" s="80">
        <v>2114816.52</v>
      </c>
      <c r="L1013" s="80">
        <f t="shared" si="40"/>
        <v>1485824</v>
      </c>
      <c r="M1013" s="80">
        <f t="shared" si="41"/>
        <v>0</v>
      </c>
    </row>
    <row r="1014" spans="1:13" ht="47.25" outlineLevel="5">
      <c r="A1014" s="63" t="s">
        <v>675</v>
      </c>
      <c r="B1014" s="64" t="s">
        <v>238</v>
      </c>
      <c r="C1014" s="64" t="s">
        <v>70</v>
      </c>
      <c r="D1014" s="64" t="s">
        <v>159</v>
      </c>
      <c r="E1014" s="64" t="s">
        <v>159</v>
      </c>
      <c r="F1014" s="65">
        <f>Приложение_6!F557</f>
        <v>628992.52</v>
      </c>
      <c r="G1014" s="65"/>
      <c r="I1014" s="80">
        <v>2114816.52</v>
      </c>
      <c r="L1014" s="80">
        <f t="shared" si="40"/>
        <v>1485824</v>
      </c>
      <c r="M1014" s="80">
        <f t="shared" si="41"/>
        <v>0</v>
      </c>
    </row>
    <row r="1015" spans="1:13" ht="47.25" outlineLevel="3">
      <c r="A1015" s="63" t="s">
        <v>431</v>
      </c>
      <c r="B1015" s="64" t="s">
        <v>12</v>
      </c>
      <c r="C1015" s="64" t="s">
        <v>1</v>
      </c>
      <c r="D1015" s="64" t="s">
        <v>3</v>
      </c>
      <c r="E1015" s="64" t="s">
        <v>3</v>
      </c>
      <c r="F1015" s="65">
        <f>F1016</f>
        <v>2124303</v>
      </c>
      <c r="G1015" s="65"/>
      <c r="I1015" s="80">
        <v>2124303</v>
      </c>
      <c r="L1015" s="80">
        <f t="shared" si="40"/>
        <v>0</v>
      </c>
      <c r="M1015" s="80">
        <f t="shared" si="41"/>
        <v>0</v>
      </c>
    </row>
    <row r="1016" spans="1:13" ht="141.75" outlineLevel="4">
      <c r="A1016" s="63" t="s">
        <v>856</v>
      </c>
      <c r="B1016" s="64" t="s">
        <v>12</v>
      </c>
      <c r="C1016" s="64" t="s">
        <v>10</v>
      </c>
      <c r="D1016" s="64" t="s">
        <v>3</v>
      </c>
      <c r="E1016" s="64" t="s">
        <v>3</v>
      </c>
      <c r="F1016" s="65">
        <f>F1017</f>
        <v>2124303</v>
      </c>
      <c r="G1016" s="65"/>
      <c r="I1016" s="80">
        <v>2124303</v>
      </c>
      <c r="L1016" s="80">
        <f t="shared" si="40"/>
        <v>0</v>
      </c>
      <c r="M1016" s="80">
        <f t="shared" si="41"/>
        <v>0</v>
      </c>
    </row>
    <row r="1017" spans="1:13" ht="63" outlineLevel="5">
      <c r="A1017" s="63" t="s">
        <v>659</v>
      </c>
      <c r="B1017" s="64" t="s">
        <v>12</v>
      </c>
      <c r="C1017" s="64" t="s">
        <v>10</v>
      </c>
      <c r="D1017" s="64" t="s">
        <v>2</v>
      </c>
      <c r="E1017" s="64" t="s">
        <v>5</v>
      </c>
      <c r="F1017" s="65">
        <f>Приложение_6!F24</f>
        <v>2124303</v>
      </c>
      <c r="G1017" s="65"/>
      <c r="I1017" s="80">
        <v>2124303</v>
      </c>
      <c r="L1017" s="80">
        <f t="shared" si="40"/>
        <v>0</v>
      </c>
      <c r="M1017" s="80">
        <f t="shared" si="41"/>
        <v>0</v>
      </c>
    </row>
    <row r="1018" spans="1:13" ht="63" hidden="1" outlineLevel="3">
      <c r="A1018" s="63" t="s">
        <v>433</v>
      </c>
      <c r="B1018" s="64" t="s">
        <v>20</v>
      </c>
      <c r="C1018" s="64" t="s">
        <v>1</v>
      </c>
      <c r="D1018" s="64" t="s">
        <v>3</v>
      </c>
      <c r="E1018" s="64" t="s">
        <v>3</v>
      </c>
      <c r="F1018" s="65">
        <f>F1019</f>
        <v>0</v>
      </c>
      <c r="G1018" s="65"/>
      <c r="I1018" s="80">
        <v>1714645</v>
      </c>
      <c r="L1018" s="80">
        <f t="shared" si="40"/>
        <v>1714645</v>
      </c>
      <c r="M1018" s="80">
        <f t="shared" si="41"/>
        <v>0</v>
      </c>
    </row>
    <row r="1019" spans="1:13" ht="141.75" hidden="1" outlineLevel="4">
      <c r="A1019" s="63" t="s">
        <v>856</v>
      </c>
      <c r="B1019" s="64" t="s">
        <v>20</v>
      </c>
      <c r="C1019" s="64" t="s">
        <v>10</v>
      </c>
      <c r="D1019" s="64" t="s">
        <v>3</v>
      </c>
      <c r="E1019" s="64" t="s">
        <v>3</v>
      </c>
      <c r="F1019" s="65">
        <f>F1020</f>
        <v>0</v>
      </c>
      <c r="G1019" s="65"/>
      <c r="I1019" s="80">
        <v>1714645</v>
      </c>
      <c r="L1019" s="80">
        <f t="shared" si="40"/>
        <v>1714645</v>
      </c>
      <c r="M1019" s="80">
        <f t="shared" si="41"/>
        <v>0</v>
      </c>
    </row>
    <row r="1020" spans="1:13" ht="94.5" hidden="1" outlineLevel="5">
      <c r="A1020" s="63" t="s">
        <v>660</v>
      </c>
      <c r="B1020" s="64" t="s">
        <v>20</v>
      </c>
      <c r="C1020" s="64" t="s">
        <v>10</v>
      </c>
      <c r="D1020" s="64" t="s">
        <v>2</v>
      </c>
      <c r="E1020" s="64" t="s">
        <v>14</v>
      </c>
      <c r="F1020" s="65">
        <f>Приложение_6!F42</f>
        <v>0</v>
      </c>
      <c r="G1020" s="65"/>
      <c r="I1020" s="80">
        <v>1714645</v>
      </c>
      <c r="L1020" s="80">
        <f t="shared" si="40"/>
        <v>1714645</v>
      </c>
      <c r="M1020" s="80">
        <f t="shared" si="41"/>
        <v>0</v>
      </c>
    </row>
    <row r="1021" spans="1:13" ht="47.25" outlineLevel="5">
      <c r="A1021" s="36" t="s">
        <v>945</v>
      </c>
      <c r="B1021" s="37" t="s">
        <v>946</v>
      </c>
      <c r="C1021" s="64" t="s">
        <v>1</v>
      </c>
      <c r="D1021" s="64" t="s">
        <v>3</v>
      </c>
      <c r="E1021" s="64" t="s">
        <v>3</v>
      </c>
      <c r="F1021" s="65">
        <f>F1024+F1022</f>
        <v>221343</v>
      </c>
      <c r="G1021" s="65"/>
      <c r="I1021" s="80"/>
      <c r="L1021" s="80"/>
      <c r="M1021" s="80"/>
    </row>
    <row r="1022" spans="1:13" ht="141.75" outlineLevel="5">
      <c r="A1022" s="36" t="s">
        <v>704</v>
      </c>
      <c r="B1022" s="37" t="s">
        <v>946</v>
      </c>
      <c r="C1022" s="64" t="s">
        <v>10</v>
      </c>
      <c r="D1022" s="64" t="s">
        <v>3</v>
      </c>
      <c r="E1022" s="64" t="s">
        <v>3</v>
      </c>
      <c r="F1022" s="65">
        <f>F1023</f>
        <v>173343</v>
      </c>
      <c r="G1022" s="65"/>
      <c r="I1022" s="80"/>
      <c r="L1022" s="80"/>
      <c r="M1022" s="80"/>
    </row>
    <row r="1023" spans="1:13" ht="63" outlineLevel="5">
      <c r="A1023" s="63" t="s">
        <v>659</v>
      </c>
      <c r="B1023" s="37" t="s">
        <v>946</v>
      </c>
      <c r="C1023" s="64" t="s">
        <v>10</v>
      </c>
      <c r="D1023" s="64" t="s">
        <v>2</v>
      </c>
      <c r="E1023" s="64" t="s">
        <v>5</v>
      </c>
      <c r="F1023" s="65">
        <f>Приложение_6!F26</f>
        <v>173343</v>
      </c>
      <c r="G1023" s="65"/>
      <c r="I1023" s="80"/>
      <c r="L1023" s="80"/>
      <c r="M1023" s="80"/>
    </row>
    <row r="1024" spans="1:13" ht="63" outlineLevel="5">
      <c r="A1024" s="36" t="s">
        <v>689</v>
      </c>
      <c r="B1024" s="37" t="s">
        <v>946</v>
      </c>
      <c r="C1024" s="64" t="s">
        <v>17</v>
      </c>
      <c r="D1024" s="64" t="s">
        <v>3</v>
      </c>
      <c r="E1024" s="64" t="s">
        <v>3</v>
      </c>
      <c r="F1024" s="65">
        <f>F1025</f>
        <v>48000</v>
      </c>
      <c r="G1024" s="65"/>
      <c r="I1024" s="80"/>
      <c r="L1024" s="80"/>
      <c r="M1024" s="80"/>
    </row>
    <row r="1025" spans="1:13" ht="63" outlineLevel="5">
      <c r="A1025" s="63" t="s">
        <v>659</v>
      </c>
      <c r="B1025" s="37" t="s">
        <v>946</v>
      </c>
      <c r="C1025" s="64" t="s">
        <v>17</v>
      </c>
      <c r="D1025" s="64" t="s">
        <v>2</v>
      </c>
      <c r="E1025" s="64" t="s">
        <v>5</v>
      </c>
      <c r="F1025" s="65">
        <f>Приложение_6!F27</f>
        <v>48000</v>
      </c>
      <c r="G1025" s="65"/>
      <c r="I1025" s="80"/>
      <c r="L1025" s="80"/>
      <c r="M1025" s="80"/>
    </row>
    <row r="1026" spans="1:13" ht="78.75" outlineLevel="3">
      <c r="A1026" s="63" t="s">
        <v>437</v>
      </c>
      <c r="B1026" s="64" t="s">
        <v>61</v>
      </c>
      <c r="C1026" s="64" t="s">
        <v>1</v>
      </c>
      <c r="D1026" s="64" t="s">
        <v>3</v>
      </c>
      <c r="E1026" s="64" t="s">
        <v>3</v>
      </c>
      <c r="F1026" s="65">
        <f>F1027</f>
        <v>1751022.02</v>
      </c>
      <c r="G1026" s="65"/>
      <c r="I1026" s="80">
        <v>1299819</v>
      </c>
      <c r="L1026" s="80">
        <f t="shared" si="40"/>
        <v>-451203.02</v>
      </c>
      <c r="M1026" s="80">
        <f t="shared" si="41"/>
        <v>0</v>
      </c>
    </row>
    <row r="1027" spans="1:13" ht="141.75" outlineLevel="4">
      <c r="A1027" s="63" t="s">
        <v>856</v>
      </c>
      <c r="B1027" s="64" t="s">
        <v>61</v>
      </c>
      <c r="C1027" s="64" t="s">
        <v>10</v>
      </c>
      <c r="D1027" s="64" t="s">
        <v>3</v>
      </c>
      <c r="E1027" s="64" t="s">
        <v>3</v>
      </c>
      <c r="F1027" s="65">
        <f>F1028</f>
        <v>1751022.02</v>
      </c>
      <c r="G1027" s="65"/>
      <c r="I1027" s="80">
        <v>1299819</v>
      </c>
      <c r="L1027" s="80">
        <f t="shared" si="40"/>
        <v>-451203.02</v>
      </c>
      <c r="M1027" s="80">
        <f t="shared" si="41"/>
        <v>0</v>
      </c>
    </row>
    <row r="1028" spans="1:13" ht="94.5" outlineLevel="5">
      <c r="A1028" s="63" t="s">
        <v>662</v>
      </c>
      <c r="B1028" s="64" t="s">
        <v>61</v>
      </c>
      <c r="C1028" s="64" t="s">
        <v>10</v>
      </c>
      <c r="D1028" s="64" t="s">
        <v>2</v>
      </c>
      <c r="E1028" s="64" t="s">
        <v>60</v>
      </c>
      <c r="F1028" s="65">
        <f>Приложение_6!F137</f>
        <v>1751022.02</v>
      </c>
      <c r="G1028" s="65"/>
      <c r="I1028" s="80">
        <v>1299819</v>
      </c>
      <c r="L1028" s="80">
        <f t="shared" si="40"/>
        <v>-451203.02</v>
      </c>
      <c r="M1028" s="80">
        <f t="shared" si="41"/>
        <v>0</v>
      </c>
    </row>
    <row r="1029" spans="1:13" ht="47.25" outlineLevel="5">
      <c r="A1029" s="89" t="s">
        <v>893</v>
      </c>
      <c r="B1029" s="90" t="s">
        <v>894</v>
      </c>
      <c r="C1029" s="90" t="s">
        <v>1</v>
      </c>
      <c r="D1029" s="120" t="s">
        <v>3</v>
      </c>
      <c r="E1029" s="120" t="s">
        <v>3</v>
      </c>
      <c r="F1029" s="121">
        <f>F1030</f>
        <v>1063600</v>
      </c>
      <c r="G1029" s="65"/>
      <c r="I1029" s="80"/>
      <c r="L1029" s="80"/>
      <c r="M1029" s="80"/>
    </row>
    <row r="1030" spans="1:13" ht="31.5" outlineLevel="5">
      <c r="A1030" s="63" t="s">
        <v>691</v>
      </c>
      <c r="B1030" s="90" t="s">
        <v>894</v>
      </c>
      <c r="C1030" s="90" t="s">
        <v>65</v>
      </c>
      <c r="D1030" s="120" t="s">
        <v>3</v>
      </c>
      <c r="E1030" s="120" t="s">
        <v>3</v>
      </c>
      <c r="F1030" s="121">
        <f>F1031</f>
        <v>1063600</v>
      </c>
      <c r="G1030" s="65"/>
      <c r="I1030" s="80"/>
      <c r="L1030" s="80"/>
      <c r="M1030" s="80"/>
    </row>
    <row r="1031" spans="1:13" ht="31.5" outlineLevel="5">
      <c r="A1031" s="63" t="s">
        <v>892</v>
      </c>
      <c r="B1031" s="90" t="s">
        <v>894</v>
      </c>
      <c r="C1031" s="90" t="s">
        <v>65</v>
      </c>
      <c r="D1031" s="120" t="s">
        <v>2</v>
      </c>
      <c r="E1031" s="120" t="s">
        <v>239</v>
      </c>
      <c r="F1031" s="121">
        <f>Приложение_6!F147</f>
        <v>1063600</v>
      </c>
      <c r="G1031" s="65"/>
      <c r="I1031" s="80"/>
      <c r="L1031" s="80"/>
      <c r="M1031" s="80"/>
    </row>
    <row r="1032" spans="1:13" ht="63" outlineLevel="3">
      <c r="A1032" s="63" t="s">
        <v>434</v>
      </c>
      <c r="B1032" s="64" t="s">
        <v>21</v>
      </c>
      <c r="C1032" s="64" t="s">
        <v>1</v>
      </c>
      <c r="D1032" s="64" t="s">
        <v>3</v>
      </c>
      <c r="E1032" s="64" t="s">
        <v>3</v>
      </c>
      <c r="F1032" s="65">
        <f>F1033</f>
        <v>5035241</v>
      </c>
      <c r="G1032" s="65"/>
      <c r="I1032" s="80">
        <v>5035241</v>
      </c>
      <c r="L1032" s="80">
        <f t="shared" si="40"/>
        <v>0</v>
      </c>
      <c r="M1032" s="80">
        <f t="shared" si="41"/>
        <v>0</v>
      </c>
    </row>
    <row r="1033" spans="1:13" ht="141.75" outlineLevel="4">
      <c r="A1033" s="63" t="s">
        <v>856</v>
      </c>
      <c r="B1033" s="64" t="s">
        <v>21</v>
      </c>
      <c r="C1033" s="64" t="s">
        <v>10</v>
      </c>
      <c r="D1033" s="64" t="s">
        <v>3</v>
      </c>
      <c r="E1033" s="64" t="s">
        <v>3</v>
      </c>
      <c r="F1033" s="65">
        <f>F1034+F1035</f>
        <v>5035241</v>
      </c>
      <c r="G1033" s="65"/>
      <c r="I1033" s="80">
        <v>5035241</v>
      </c>
      <c r="L1033" s="80">
        <f t="shared" si="40"/>
        <v>0</v>
      </c>
      <c r="M1033" s="80">
        <f t="shared" si="41"/>
        <v>0</v>
      </c>
    </row>
    <row r="1034" spans="1:13" ht="94.5" outlineLevel="5">
      <c r="A1034" s="63" t="s">
        <v>660</v>
      </c>
      <c r="B1034" s="64" t="s">
        <v>21</v>
      </c>
      <c r="C1034" s="64" t="s">
        <v>10</v>
      </c>
      <c r="D1034" s="64" t="s">
        <v>2</v>
      </c>
      <c r="E1034" s="64" t="s">
        <v>14</v>
      </c>
      <c r="F1034" s="65">
        <f>Приложение_6!F44</f>
        <v>2987580</v>
      </c>
      <c r="G1034" s="65"/>
      <c r="I1034" s="80">
        <v>2987580</v>
      </c>
      <c r="L1034" s="80">
        <f t="shared" si="40"/>
        <v>0</v>
      </c>
      <c r="M1034" s="80">
        <f t="shared" si="41"/>
        <v>0</v>
      </c>
    </row>
    <row r="1035" spans="1:13" ht="94.5" outlineLevel="5">
      <c r="A1035" s="63" t="s">
        <v>662</v>
      </c>
      <c r="B1035" s="64" t="s">
        <v>21</v>
      </c>
      <c r="C1035" s="64" t="s">
        <v>10</v>
      </c>
      <c r="D1035" s="64" t="s">
        <v>2</v>
      </c>
      <c r="E1035" s="64" t="s">
        <v>60</v>
      </c>
      <c r="F1035" s="65">
        <f>Приложение_6!F139</f>
        <v>2047661</v>
      </c>
      <c r="G1035" s="65"/>
      <c r="I1035" s="80">
        <v>2047661</v>
      </c>
      <c r="L1035" s="80">
        <f t="shared" si="40"/>
        <v>0</v>
      </c>
      <c r="M1035" s="80">
        <f t="shared" si="41"/>
        <v>0</v>
      </c>
    </row>
    <row r="1036" spans="1:13" ht="78.75" outlineLevel="3">
      <c r="A1036" s="63" t="s">
        <v>436</v>
      </c>
      <c r="B1036" s="64" t="s">
        <v>62</v>
      </c>
      <c r="C1036" s="64" t="s">
        <v>1</v>
      </c>
      <c r="D1036" s="64" t="s">
        <v>3</v>
      </c>
      <c r="E1036" s="64" t="s">
        <v>3</v>
      </c>
      <c r="F1036" s="65">
        <f>F1037</f>
        <v>839986.14</v>
      </c>
      <c r="G1036" s="65"/>
      <c r="I1036" s="80">
        <v>548195</v>
      </c>
      <c r="L1036" s="80">
        <f t="shared" si="40"/>
        <v>-291791.14</v>
      </c>
      <c r="M1036" s="80">
        <f t="shared" si="41"/>
        <v>0</v>
      </c>
    </row>
    <row r="1037" spans="1:13" ht="141.75" outlineLevel="4">
      <c r="A1037" s="63" t="s">
        <v>856</v>
      </c>
      <c r="B1037" s="64" t="s">
        <v>62</v>
      </c>
      <c r="C1037" s="64" t="s">
        <v>10</v>
      </c>
      <c r="D1037" s="64" t="s">
        <v>3</v>
      </c>
      <c r="E1037" s="64" t="s">
        <v>3</v>
      </c>
      <c r="F1037" s="65">
        <f>F1039+F1038</f>
        <v>839986.14</v>
      </c>
      <c r="G1037" s="65"/>
      <c r="I1037" s="80">
        <v>548195</v>
      </c>
      <c r="L1037" s="80">
        <f t="shared" si="40"/>
        <v>-291791.14</v>
      </c>
      <c r="M1037" s="80">
        <f t="shared" si="41"/>
        <v>0</v>
      </c>
    </row>
    <row r="1038" spans="1:13" ht="94.5" outlineLevel="4">
      <c r="A1038" s="63" t="s">
        <v>660</v>
      </c>
      <c r="B1038" s="64" t="s">
        <v>62</v>
      </c>
      <c r="C1038" s="64" t="s">
        <v>10</v>
      </c>
      <c r="D1038" s="64" t="s">
        <v>2</v>
      </c>
      <c r="E1038" s="64" t="s">
        <v>14</v>
      </c>
      <c r="F1038" s="65">
        <f>Приложение_6!F45</f>
        <v>306387.97</v>
      </c>
      <c r="G1038" s="65"/>
      <c r="I1038" s="80"/>
      <c r="L1038" s="80"/>
      <c r="M1038" s="80"/>
    </row>
    <row r="1039" spans="1:13" ht="94.5" outlineLevel="5">
      <c r="A1039" s="63" t="s">
        <v>662</v>
      </c>
      <c r="B1039" s="64" t="s">
        <v>62</v>
      </c>
      <c r="C1039" s="64" t="s">
        <v>10</v>
      </c>
      <c r="D1039" s="64" t="s">
        <v>2</v>
      </c>
      <c r="E1039" s="64" t="s">
        <v>60</v>
      </c>
      <c r="F1039" s="65">
        <f>Приложение_6!F141</f>
        <v>533598.17</v>
      </c>
      <c r="G1039" s="65"/>
      <c r="I1039" s="80">
        <v>548195</v>
      </c>
      <c r="L1039" s="80">
        <f t="shared" si="40"/>
        <v>14596.829999999958</v>
      </c>
      <c r="M1039" s="80">
        <f t="shared" si="41"/>
        <v>0</v>
      </c>
    </row>
    <row r="1040" spans="1:13" ht="126" outlineLevel="3">
      <c r="A1040" s="63" t="s">
        <v>432</v>
      </c>
      <c r="B1040" s="64" t="s">
        <v>13</v>
      </c>
      <c r="C1040" s="64" t="s">
        <v>1</v>
      </c>
      <c r="D1040" s="64" t="s">
        <v>3</v>
      </c>
      <c r="E1040" s="64" t="s">
        <v>3</v>
      </c>
      <c r="F1040" s="65">
        <f>F1041</f>
        <v>246814.64</v>
      </c>
      <c r="G1040" s="65"/>
      <c r="I1040" s="80">
        <v>244000</v>
      </c>
      <c r="L1040" s="80">
        <f t="shared" si="40"/>
        <v>-2814.640000000014</v>
      </c>
      <c r="M1040" s="80">
        <f t="shared" si="41"/>
        <v>0</v>
      </c>
    </row>
    <row r="1041" spans="1:13" ht="141.75" outlineLevel="4">
      <c r="A1041" s="63" t="s">
        <v>856</v>
      </c>
      <c r="B1041" s="64" t="s">
        <v>13</v>
      </c>
      <c r="C1041" s="64" t="s">
        <v>10</v>
      </c>
      <c r="D1041" s="64" t="s">
        <v>3</v>
      </c>
      <c r="E1041" s="64" t="s">
        <v>3</v>
      </c>
      <c r="F1041" s="65">
        <f>F1042+F1043+F1044</f>
        <v>246814.64</v>
      </c>
      <c r="G1041" s="65"/>
      <c r="I1041" s="80">
        <v>244000</v>
      </c>
      <c r="L1041" s="80">
        <f t="shared" si="40"/>
        <v>-2814.640000000014</v>
      </c>
      <c r="M1041" s="80">
        <f t="shared" si="41"/>
        <v>0</v>
      </c>
    </row>
    <row r="1042" spans="1:13" ht="63" outlineLevel="5">
      <c r="A1042" s="63" t="s">
        <v>659</v>
      </c>
      <c r="B1042" s="64" t="s">
        <v>13</v>
      </c>
      <c r="C1042" s="64" t="s">
        <v>10</v>
      </c>
      <c r="D1042" s="64" t="s">
        <v>2</v>
      </c>
      <c r="E1042" s="64" t="s">
        <v>5</v>
      </c>
      <c r="F1042" s="65">
        <f>Приложение_6!F29</f>
        <v>25000</v>
      </c>
      <c r="G1042" s="65"/>
      <c r="I1042" s="80">
        <v>25000</v>
      </c>
      <c r="L1042" s="80">
        <f t="shared" si="40"/>
        <v>0</v>
      </c>
      <c r="M1042" s="80">
        <f t="shared" si="41"/>
        <v>0</v>
      </c>
    </row>
    <row r="1043" spans="1:13" ht="94.5" outlineLevel="5">
      <c r="A1043" s="63" t="s">
        <v>660</v>
      </c>
      <c r="B1043" s="64" t="s">
        <v>13</v>
      </c>
      <c r="C1043" s="64" t="s">
        <v>10</v>
      </c>
      <c r="D1043" s="64" t="s">
        <v>2</v>
      </c>
      <c r="E1043" s="64" t="s">
        <v>14</v>
      </c>
      <c r="F1043" s="65">
        <f>Приложение_6!F48</f>
        <v>164248.98</v>
      </c>
      <c r="G1043" s="65"/>
      <c r="I1043" s="80">
        <v>133000</v>
      </c>
      <c r="L1043" s="80">
        <f t="shared" si="40"/>
        <v>-31248.98000000001</v>
      </c>
      <c r="M1043" s="80">
        <f t="shared" si="41"/>
        <v>0</v>
      </c>
    </row>
    <row r="1044" spans="1:13" ht="94.5" outlineLevel="5">
      <c r="A1044" s="63" t="s">
        <v>662</v>
      </c>
      <c r="B1044" s="64" t="s">
        <v>13</v>
      </c>
      <c r="C1044" s="64" t="s">
        <v>10</v>
      </c>
      <c r="D1044" s="64" t="s">
        <v>2</v>
      </c>
      <c r="E1044" s="64" t="s">
        <v>60</v>
      </c>
      <c r="F1044" s="65">
        <f>Приложение_6!F143</f>
        <v>57565.66</v>
      </c>
      <c r="G1044" s="65"/>
      <c r="I1044" s="80">
        <v>86000</v>
      </c>
      <c r="L1044" s="80">
        <f t="shared" si="40"/>
        <v>28434.339999999997</v>
      </c>
      <c r="M1044" s="80">
        <f t="shared" si="41"/>
        <v>0</v>
      </c>
    </row>
    <row r="1045" spans="1:13" ht="47.25" outlineLevel="3">
      <c r="A1045" s="63" t="s">
        <v>447</v>
      </c>
      <c r="B1045" s="64" t="s">
        <v>141</v>
      </c>
      <c r="C1045" s="64" t="s">
        <v>1</v>
      </c>
      <c r="D1045" s="64" t="s">
        <v>3</v>
      </c>
      <c r="E1045" s="64" t="s">
        <v>3</v>
      </c>
      <c r="F1045" s="65">
        <f>F1046+F1048</f>
        <v>645754.4199999999</v>
      </c>
      <c r="G1045" s="65"/>
      <c r="I1045" s="80">
        <v>736764.42</v>
      </c>
      <c r="L1045" s="80">
        <f aca="true" t="shared" si="42" ref="L1045:L1071">I1045-F1045</f>
        <v>91010.00000000012</v>
      </c>
      <c r="M1045" s="80">
        <f aca="true" t="shared" si="43" ref="M1045:M1071">J1045-G1045</f>
        <v>0</v>
      </c>
    </row>
    <row r="1046" spans="1:13" ht="63" outlineLevel="4">
      <c r="A1046" s="63" t="s">
        <v>689</v>
      </c>
      <c r="B1046" s="64" t="s">
        <v>141</v>
      </c>
      <c r="C1046" s="64" t="s">
        <v>17</v>
      </c>
      <c r="D1046" s="64" t="s">
        <v>3</v>
      </c>
      <c r="E1046" s="64" t="s">
        <v>3</v>
      </c>
      <c r="F1046" s="65">
        <f>F1047</f>
        <v>197850</v>
      </c>
      <c r="G1046" s="65"/>
      <c r="I1046" s="80">
        <v>249000</v>
      </c>
      <c r="L1046" s="80">
        <f t="shared" si="42"/>
        <v>51150</v>
      </c>
      <c r="M1046" s="80">
        <f t="shared" si="43"/>
        <v>0</v>
      </c>
    </row>
    <row r="1047" spans="1:13" ht="31.5" outlineLevel="5">
      <c r="A1047" s="63" t="s">
        <v>664</v>
      </c>
      <c r="B1047" s="64" t="s">
        <v>141</v>
      </c>
      <c r="C1047" s="64" t="s">
        <v>17</v>
      </c>
      <c r="D1047" s="64" t="s">
        <v>2</v>
      </c>
      <c r="E1047" s="64" t="s">
        <v>66</v>
      </c>
      <c r="F1047" s="65">
        <f>Приложение_6!F293</f>
        <v>197850</v>
      </c>
      <c r="G1047" s="65"/>
      <c r="I1047" s="80">
        <v>249000</v>
      </c>
      <c r="L1047" s="80">
        <f t="shared" si="42"/>
        <v>51150</v>
      </c>
      <c r="M1047" s="80">
        <f t="shared" si="43"/>
        <v>0</v>
      </c>
    </row>
    <row r="1048" spans="1:13" ht="31.5" outlineLevel="4">
      <c r="A1048" s="63" t="s">
        <v>691</v>
      </c>
      <c r="B1048" s="64" t="s">
        <v>141</v>
      </c>
      <c r="C1048" s="64" t="s">
        <v>65</v>
      </c>
      <c r="D1048" s="64" t="s">
        <v>3</v>
      </c>
      <c r="E1048" s="64" t="s">
        <v>3</v>
      </c>
      <c r="F1048" s="65">
        <f>F1049</f>
        <v>447904.42</v>
      </c>
      <c r="G1048" s="65"/>
      <c r="I1048" s="80">
        <v>487764.42</v>
      </c>
      <c r="L1048" s="80">
        <f t="shared" si="42"/>
        <v>39860</v>
      </c>
      <c r="M1048" s="80">
        <f t="shared" si="43"/>
        <v>0</v>
      </c>
    </row>
    <row r="1049" spans="1:13" ht="31.5" outlineLevel="5">
      <c r="A1049" s="63" t="s">
        <v>664</v>
      </c>
      <c r="B1049" s="64" t="s">
        <v>141</v>
      </c>
      <c r="C1049" s="64" t="s">
        <v>65</v>
      </c>
      <c r="D1049" s="64" t="s">
        <v>2</v>
      </c>
      <c r="E1049" s="64" t="s">
        <v>66</v>
      </c>
      <c r="F1049" s="65">
        <f>Приложение_6!F294</f>
        <v>447904.42</v>
      </c>
      <c r="G1049" s="65"/>
      <c r="I1049" s="80">
        <v>487764.42</v>
      </c>
      <c r="L1049" s="80">
        <f t="shared" si="42"/>
        <v>39860</v>
      </c>
      <c r="M1049" s="80">
        <f t="shared" si="43"/>
        <v>0</v>
      </c>
    </row>
    <row r="1050" spans="1:13" ht="31.5" outlineLevel="5">
      <c r="A1050" s="36" t="s">
        <v>888</v>
      </c>
      <c r="B1050" s="37" t="s">
        <v>889</v>
      </c>
      <c r="C1050" s="37" t="s">
        <v>1</v>
      </c>
      <c r="D1050" s="64" t="s">
        <v>3</v>
      </c>
      <c r="E1050" s="64" t="s">
        <v>3</v>
      </c>
      <c r="F1050" s="65">
        <f>F1051</f>
        <v>920000</v>
      </c>
      <c r="G1050" s="65"/>
      <c r="I1050" s="80"/>
      <c r="L1050" s="80"/>
      <c r="M1050" s="80"/>
    </row>
    <row r="1051" spans="1:13" ht="31.5" outlineLevel="5">
      <c r="A1051" s="36" t="s">
        <v>691</v>
      </c>
      <c r="B1051" s="37" t="s">
        <v>889</v>
      </c>
      <c r="C1051" s="37" t="s">
        <v>65</v>
      </c>
      <c r="D1051" s="64" t="s">
        <v>3</v>
      </c>
      <c r="E1051" s="64" t="s">
        <v>3</v>
      </c>
      <c r="F1051" s="65">
        <f>F1052</f>
        <v>920000</v>
      </c>
      <c r="G1051" s="65"/>
      <c r="I1051" s="80"/>
      <c r="L1051" s="80"/>
      <c r="M1051" s="80"/>
    </row>
    <row r="1052" spans="1:13" ht="31.5" outlineLevel="5">
      <c r="A1052" s="63" t="s">
        <v>664</v>
      </c>
      <c r="B1052" s="37" t="s">
        <v>889</v>
      </c>
      <c r="C1052" s="64" t="s">
        <v>65</v>
      </c>
      <c r="D1052" s="64" t="s">
        <v>2</v>
      </c>
      <c r="E1052" s="64" t="s">
        <v>66</v>
      </c>
      <c r="F1052" s="65">
        <f>Приложение_6!F296</f>
        <v>920000</v>
      </c>
      <c r="G1052" s="65"/>
      <c r="I1052" s="80"/>
      <c r="L1052" s="80"/>
      <c r="M1052" s="80"/>
    </row>
    <row r="1053" spans="1:13" ht="47.25" outlineLevel="3">
      <c r="A1053" s="63" t="s">
        <v>438</v>
      </c>
      <c r="B1053" s="64" t="s">
        <v>64</v>
      </c>
      <c r="C1053" s="64" t="s">
        <v>1</v>
      </c>
      <c r="D1053" s="64" t="s">
        <v>3</v>
      </c>
      <c r="E1053" s="64" t="s">
        <v>3</v>
      </c>
      <c r="F1053" s="65">
        <f>F1054</f>
        <v>513310</v>
      </c>
      <c r="G1053" s="65"/>
      <c r="I1053" s="80">
        <v>1606000</v>
      </c>
      <c r="L1053" s="80">
        <f t="shared" si="42"/>
        <v>1092690</v>
      </c>
      <c r="M1053" s="80">
        <f t="shared" si="43"/>
        <v>0</v>
      </c>
    </row>
    <row r="1054" spans="1:13" ht="31.5" outlineLevel="4">
      <c r="A1054" s="63" t="s">
        <v>691</v>
      </c>
      <c r="B1054" s="64" t="s">
        <v>64</v>
      </c>
      <c r="C1054" s="64" t="s">
        <v>65</v>
      </c>
      <c r="D1054" s="64" t="s">
        <v>3</v>
      </c>
      <c r="E1054" s="64" t="s">
        <v>3</v>
      </c>
      <c r="F1054" s="65">
        <f>F1055</f>
        <v>513310</v>
      </c>
      <c r="G1054" s="65"/>
      <c r="I1054" s="80">
        <v>1606000</v>
      </c>
      <c r="L1054" s="80">
        <f t="shared" si="42"/>
        <v>1092690</v>
      </c>
      <c r="M1054" s="80">
        <f t="shared" si="43"/>
        <v>0</v>
      </c>
    </row>
    <row r="1055" spans="1:13" ht="15.75" outlineLevel="5">
      <c r="A1055" s="63" t="s">
        <v>663</v>
      </c>
      <c r="B1055" s="64" t="s">
        <v>64</v>
      </c>
      <c r="C1055" s="64" t="s">
        <v>65</v>
      </c>
      <c r="D1055" s="64" t="s">
        <v>2</v>
      </c>
      <c r="E1055" s="64" t="s">
        <v>63</v>
      </c>
      <c r="F1055" s="65">
        <f>Приложение_6!F151</f>
        <v>513310</v>
      </c>
      <c r="G1055" s="65"/>
      <c r="I1055" s="80">
        <v>1606000</v>
      </c>
      <c r="L1055" s="80">
        <f t="shared" si="42"/>
        <v>1092690</v>
      </c>
      <c r="M1055" s="80">
        <f t="shared" si="43"/>
        <v>0</v>
      </c>
    </row>
    <row r="1056" spans="1:13" ht="173.25" outlineLevel="3">
      <c r="A1056" s="63" t="s">
        <v>472</v>
      </c>
      <c r="B1056" s="64" t="s">
        <v>372</v>
      </c>
      <c r="C1056" s="64" t="s">
        <v>1</v>
      </c>
      <c r="D1056" s="64" t="s">
        <v>3</v>
      </c>
      <c r="E1056" s="64" t="s">
        <v>3</v>
      </c>
      <c r="F1056" s="65">
        <f>F1057</f>
        <v>8284864.61</v>
      </c>
      <c r="G1056" s="65"/>
      <c r="I1056" s="80">
        <v>8284864.61</v>
      </c>
      <c r="L1056" s="80">
        <f t="shared" si="42"/>
        <v>0</v>
      </c>
      <c r="M1056" s="80">
        <f t="shared" si="43"/>
        <v>0</v>
      </c>
    </row>
    <row r="1057" spans="1:13" ht="31.5" outlineLevel="4">
      <c r="A1057" s="63" t="s">
        <v>690</v>
      </c>
      <c r="B1057" s="64" t="s">
        <v>372</v>
      </c>
      <c r="C1057" s="64" t="s">
        <v>47</v>
      </c>
      <c r="D1057" s="64" t="s">
        <v>3</v>
      </c>
      <c r="E1057" s="64" t="s">
        <v>3</v>
      </c>
      <c r="F1057" s="65">
        <f>F1058</f>
        <v>8284864.61</v>
      </c>
      <c r="G1057" s="65"/>
      <c r="I1057" s="80">
        <v>8284864.61</v>
      </c>
      <c r="L1057" s="80">
        <f t="shared" si="42"/>
        <v>0</v>
      </c>
      <c r="M1057" s="80">
        <f t="shared" si="43"/>
        <v>0</v>
      </c>
    </row>
    <row r="1058" spans="1:13" ht="15.75" outlineLevel="5">
      <c r="A1058" s="63" t="s">
        <v>682</v>
      </c>
      <c r="B1058" s="64" t="s">
        <v>372</v>
      </c>
      <c r="C1058" s="64" t="s">
        <v>47</v>
      </c>
      <c r="D1058" s="64" t="s">
        <v>187</v>
      </c>
      <c r="E1058" s="64" t="s">
        <v>2</v>
      </c>
      <c r="F1058" s="65">
        <f>Приложение_6!F874</f>
        <v>8284864.61</v>
      </c>
      <c r="G1058" s="65"/>
      <c r="I1058" s="80">
        <v>8284864.61</v>
      </c>
      <c r="L1058" s="80">
        <f t="shared" si="42"/>
        <v>0</v>
      </c>
      <c r="M1058" s="80">
        <f t="shared" si="43"/>
        <v>0</v>
      </c>
    </row>
    <row r="1059" spans="1:13" ht="47.25" outlineLevel="3">
      <c r="A1059" s="63" t="s">
        <v>448</v>
      </c>
      <c r="B1059" s="64" t="s">
        <v>142</v>
      </c>
      <c r="C1059" s="64" t="s">
        <v>1</v>
      </c>
      <c r="D1059" s="64" t="s">
        <v>3</v>
      </c>
      <c r="E1059" s="64" t="s">
        <v>3</v>
      </c>
      <c r="F1059" s="65">
        <f>F1066+F1068+F1062+F1061+F1064</f>
        <v>14358009.75</v>
      </c>
      <c r="G1059" s="65"/>
      <c r="I1059" s="80">
        <v>8692782.34</v>
      </c>
      <c r="L1059" s="80">
        <f t="shared" si="42"/>
        <v>-5665227.41</v>
      </c>
      <c r="M1059" s="80">
        <f t="shared" si="43"/>
        <v>0</v>
      </c>
    </row>
    <row r="1060" spans="1:13" ht="141.75" outlineLevel="3">
      <c r="A1060" s="103" t="s">
        <v>704</v>
      </c>
      <c r="B1060" s="64" t="s">
        <v>142</v>
      </c>
      <c r="C1060" s="64" t="s">
        <v>10</v>
      </c>
      <c r="D1060" s="64" t="s">
        <v>3</v>
      </c>
      <c r="E1060" s="64" t="s">
        <v>3</v>
      </c>
      <c r="F1060" s="65">
        <f>F1061</f>
        <v>32252.02</v>
      </c>
      <c r="G1060" s="112"/>
      <c r="I1060" s="80"/>
      <c r="L1060" s="80"/>
      <c r="M1060" s="80"/>
    </row>
    <row r="1061" spans="1:13" ht="31.5" outlineLevel="3">
      <c r="A1061" s="63" t="s">
        <v>664</v>
      </c>
      <c r="B1061" s="64" t="s">
        <v>142</v>
      </c>
      <c r="C1061" s="64" t="s">
        <v>10</v>
      </c>
      <c r="D1061" s="64" t="s">
        <v>2</v>
      </c>
      <c r="E1061" s="64" t="s">
        <v>66</v>
      </c>
      <c r="F1061" s="65">
        <f>Приложение_6!F298</f>
        <v>32252.02</v>
      </c>
      <c r="G1061" s="112"/>
      <c r="I1061" s="80"/>
      <c r="L1061" s="80"/>
      <c r="M1061" s="80"/>
    </row>
    <row r="1062" spans="1:13" ht="63" outlineLevel="3">
      <c r="A1062" s="19" t="s">
        <v>689</v>
      </c>
      <c r="B1062" s="64" t="s">
        <v>142</v>
      </c>
      <c r="C1062" s="64" t="s">
        <v>17</v>
      </c>
      <c r="D1062" s="64" t="s">
        <v>3</v>
      </c>
      <c r="E1062" s="64" t="s">
        <v>3</v>
      </c>
      <c r="F1062" s="65">
        <f>F1063</f>
        <v>1666722.4199999997</v>
      </c>
      <c r="G1062" s="65"/>
      <c r="I1062" s="80"/>
      <c r="L1062" s="80"/>
      <c r="M1062" s="80"/>
    </row>
    <row r="1063" spans="1:13" ht="31.5" outlineLevel="3">
      <c r="A1063" s="63" t="s">
        <v>664</v>
      </c>
      <c r="B1063" s="64" t="s">
        <v>142</v>
      </c>
      <c r="C1063" s="64" t="s">
        <v>17</v>
      </c>
      <c r="D1063" s="64" t="s">
        <v>2</v>
      </c>
      <c r="E1063" s="64" t="s">
        <v>66</v>
      </c>
      <c r="F1063" s="65">
        <f>Приложение_6!F299</f>
        <v>1666722.4199999997</v>
      </c>
      <c r="G1063" s="65"/>
      <c r="I1063" s="80"/>
      <c r="L1063" s="80"/>
      <c r="M1063" s="80"/>
    </row>
    <row r="1064" spans="1:13" ht="31.5" outlineLevel="3">
      <c r="A1064" s="63" t="s">
        <v>690</v>
      </c>
      <c r="B1064" s="64" t="s">
        <v>142</v>
      </c>
      <c r="C1064" s="64" t="s">
        <v>47</v>
      </c>
      <c r="D1064" s="64" t="s">
        <v>3</v>
      </c>
      <c r="E1064" s="64" t="s">
        <v>3</v>
      </c>
      <c r="F1064" s="65">
        <f>F1065</f>
        <v>29090</v>
      </c>
      <c r="G1064" s="65"/>
      <c r="I1064" s="80"/>
      <c r="L1064" s="80"/>
      <c r="M1064" s="80"/>
    </row>
    <row r="1065" spans="1:13" ht="31.5" outlineLevel="3">
      <c r="A1065" s="63" t="s">
        <v>664</v>
      </c>
      <c r="B1065" s="64" t="s">
        <v>142</v>
      </c>
      <c r="C1065" s="64" t="s">
        <v>47</v>
      </c>
      <c r="D1065" s="64" t="s">
        <v>2</v>
      </c>
      <c r="E1065" s="64" t="s">
        <v>66</v>
      </c>
      <c r="F1065" s="65">
        <f>Приложение_6!F300</f>
        <v>29090</v>
      </c>
      <c r="G1065" s="65"/>
      <c r="I1065" s="80"/>
      <c r="L1065" s="80"/>
      <c r="M1065" s="80"/>
    </row>
    <row r="1066" spans="1:13" ht="63" outlineLevel="4">
      <c r="A1066" s="63" t="s">
        <v>867</v>
      </c>
      <c r="B1066" s="64" t="s">
        <v>142</v>
      </c>
      <c r="C1066" s="64" t="s">
        <v>143</v>
      </c>
      <c r="D1066" s="64" t="s">
        <v>3</v>
      </c>
      <c r="E1066" s="64" t="s">
        <v>3</v>
      </c>
      <c r="F1066" s="65">
        <f>F1067</f>
        <v>9289149.63</v>
      </c>
      <c r="G1066" s="65"/>
      <c r="I1066" s="80">
        <v>8500008.46</v>
      </c>
      <c r="L1066" s="80">
        <f t="shared" si="42"/>
        <v>-789141.1699999999</v>
      </c>
      <c r="M1066" s="80">
        <f>J1066-G1066</f>
        <v>0</v>
      </c>
    </row>
    <row r="1067" spans="1:13" ht="31.5" outlineLevel="5">
      <c r="A1067" s="63" t="s">
        <v>664</v>
      </c>
      <c r="B1067" s="64" t="s">
        <v>142</v>
      </c>
      <c r="C1067" s="64" t="s">
        <v>143</v>
      </c>
      <c r="D1067" s="64" t="s">
        <v>2</v>
      </c>
      <c r="E1067" s="64" t="s">
        <v>66</v>
      </c>
      <c r="F1067" s="65">
        <f>Приложение_6!F301</f>
        <v>9289149.63</v>
      </c>
      <c r="G1067" s="65"/>
      <c r="I1067" s="80">
        <v>8500008.46</v>
      </c>
      <c r="L1067" s="80">
        <f t="shared" si="42"/>
        <v>-789141.1699999999</v>
      </c>
      <c r="M1067" s="80">
        <f t="shared" si="43"/>
        <v>0</v>
      </c>
    </row>
    <row r="1068" spans="1:13" ht="31.5" outlineLevel="4">
      <c r="A1068" s="63" t="s">
        <v>691</v>
      </c>
      <c r="B1068" s="64" t="s">
        <v>142</v>
      </c>
      <c r="C1068" s="64" t="s">
        <v>65</v>
      </c>
      <c r="D1068" s="64" t="s">
        <v>3</v>
      </c>
      <c r="E1068" s="64" t="s">
        <v>3</v>
      </c>
      <c r="F1068" s="65">
        <f>F1069+F1070</f>
        <v>3340795.6799999997</v>
      </c>
      <c r="G1068" s="65"/>
      <c r="I1068" s="80">
        <v>192773.88</v>
      </c>
      <c r="L1068" s="80">
        <f t="shared" si="42"/>
        <v>-3148021.8</v>
      </c>
      <c r="M1068" s="80">
        <f t="shared" si="43"/>
        <v>0</v>
      </c>
    </row>
    <row r="1069" spans="1:13" ht="31.5" outlineLevel="5">
      <c r="A1069" s="63" t="s">
        <v>664</v>
      </c>
      <c r="B1069" s="64" t="s">
        <v>142</v>
      </c>
      <c r="C1069" s="64" t="s">
        <v>65</v>
      </c>
      <c r="D1069" s="64" t="s">
        <v>2</v>
      </c>
      <c r="E1069" s="64" t="s">
        <v>66</v>
      </c>
      <c r="F1069" s="65">
        <f>Приложение_6!F302</f>
        <v>3340795.6799999997</v>
      </c>
      <c r="G1069" s="65"/>
      <c r="I1069" s="80">
        <v>114194.99</v>
      </c>
      <c r="L1069" s="80">
        <f t="shared" si="42"/>
        <v>-3226600.6899999995</v>
      </c>
      <c r="M1069" s="80">
        <f t="shared" si="43"/>
        <v>0</v>
      </c>
    </row>
    <row r="1070" spans="1:13" ht="31.5" hidden="1" outlineLevel="5">
      <c r="A1070" s="82" t="s">
        <v>669</v>
      </c>
      <c r="B1070" s="83" t="s">
        <v>142</v>
      </c>
      <c r="C1070" s="83" t="s">
        <v>65</v>
      </c>
      <c r="D1070" s="83" t="s">
        <v>22</v>
      </c>
      <c r="E1070" s="83" t="s">
        <v>146</v>
      </c>
      <c r="F1070" s="84">
        <f>Приложение_6!F396</f>
        <v>0</v>
      </c>
      <c r="G1070" s="84"/>
      <c r="I1070" s="80">
        <v>78578.89</v>
      </c>
      <c r="L1070" s="80">
        <f t="shared" si="42"/>
        <v>78578.89</v>
      </c>
      <c r="M1070" s="80">
        <f t="shared" si="43"/>
        <v>0</v>
      </c>
    </row>
    <row r="1071" spans="1:13" ht="15.75" collapsed="1">
      <c r="A1071" s="200" t="s">
        <v>414</v>
      </c>
      <c r="B1071" s="201"/>
      <c r="C1071" s="201"/>
      <c r="D1071" s="201"/>
      <c r="E1071" s="202"/>
      <c r="F1071" s="85">
        <f>F1011+F792+F695+F682+F665+F636+F571+F446+F318+F268+F256+F10+F764+F631</f>
        <v>2324114390.8900003</v>
      </c>
      <c r="G1071" s="85">
        <f>G1011+G792+G695+G682+G665+G636+G571+G446+G318+G268+G256+G10+G764+G631</f>
        <v>855338484.55</v>
      </c>
      <c r="I1071" s="80">
        <v>2220551930.88</v>
      </c>
      <c r="J1071" s="80">
        <v>805103202.53</v>
      </c>
      <c r="L1071" s="80">
        <f t="shared" si="42"/>
        <v>-103562460.01000023</v>
      </c>
      <c r="M1071" s="80">
        <f t="shared" si="43"/>
        <v>-50235282.01999998</v>
      </c>
    </row>
    <row r="1072" spans="1:13" ht="15" customHeight="1">
      <c r="A1072" s="86"/>
      <c r="B1072" s="87"/>
      <c r="C1072" s="87"/>
      <c r="D1072" s="87"/>
      <c r="E1072" s="87"/>
      <c r="F1072" s="88"/>
      <c r="G1072" s="88"/>
      <c r="L1072" s="80"/>
      <c r="M1072" s="80"/>
    </row>
    <row r="1073" spans="6:13" ht="15.75" hidden="1">
      <c r="F1073" s="79"/>
      <c r="I1073" s="80"/>
      <c r="J1073" s="80"/>
      <c r="L1073" s="80"/>
      <c r="M1073" s="80"/>
    </row>
    <row r="1074" spans="6:13" ht="15.75" hidden="1">
      <c r="F1074" s="79">
        <f>F1071-Приложение_6!F971</f>
        <v>0</v>
      </c>
      <c r="G1074" s="79">
        <f>G1071-Приложение_6!G971</f>
        <v>0</v>
      </c>
      <c r="L1074" s="80"/>
      <c r="M1074" s="80"/>
    </row>
    <row r="1075" spans="6:7" ht="15.75" hidden="1">
      <c r="F1075" s="79">
        <f>F1071-'Приложение_7 '!G1126</f>
        <v>0</v>
      </c>
      <c r="G1075" s="79">
        <f>G1071-'Приложение_7 '!H1126</f>
        <v>0</v>
      </c>
    </row>
    <row r="1076" ht="15.75" hidden="1"/>
    <row r="1077" spans="6:7" ht="15.75">
      <c r="F1077" s="79">
        <f>Приложение_6!F971</f>
        <v>2324114390.8899994</v>
      </c>
      <c r="G1077" s="79">
        <f>Приложение_6!G971</f>
        <v>855338484.55</v>
      </c>
    </row>
    <row r="1078" spans="6:7" ht="15.75">
      <c r="F1078" s="79"/>
      <c r="G1078" s="79"/>
    </row>
    <row r="1079" spans="6:7" ht="15.75">
      <c r="F1079" s="79">
        <f>F1071-F1077</f>
        <v>0</v>
      </c>
      <c r="G1079" s="79">
        <f>G1071-G1077</f>
        <v>0</v>
      </c>
    </row>
    <row r="1084" spans="6:7" ht="15.75">
      <c r="F1084" s="4" t="s">
        <v>943</v>
      </c>
      <c r="G1084" s="79">
        <f>F1071-F1011</f>
        <v>2287481149.7900004</v>
      </c>
    </row>
  </sheetData>
  <sheetProtection/>
  <mergeCells count="8">
    <mergeCell ref="A4:G4"/>
    <mergeCell ref="A5:G5"/>
    <mergeCell ref="A1071:E1071"/>
    <mergeCell ref="A1:G1"/>
    <mergeCell ref="A2:G2"/>
    <mergeCell ref="A3:G3"/>
    <mergeCell ref="A6:G6"/>
    <mergeCell ref="A7:G7"/>
  </mergeCells>
  <printOptions/>
  <pageMargins left="0.7874015748031497" right="0.5905511811023623" top="0.5905511811023623" bottom="0.5905511811023623" header="0.3937007874015748" footer="0.3937007874015748"/>
  <pageSetup fitToHeight="0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zoomScaleSheetLayoutView="100" zoomScalePageLayoutView="0" workbookViewId="0" topLeftCell="A1">
      <pane ySplit="9" topLeftCell="A50" activePane="bottomLeft" state="frozen"/>
      <selection pane="topLeft" activeCell="A1" sqref="A1"/>
      <selection pane="bottomLeft" activeCell="C47" sqref="C47"/>
    </sheetView>
  </sheetViews>
  <sheetFormatPr defaultColWidth="9.140625" defaultRowHeight="15" outlineLevelRow="1"/>
  <cols>
    <col min="1" max="1" width="12.28125" style="54" customWidth="1"/>
    <col min="2" max="2" width="53.140625" style="54" customWidth="1"/>
    <col min="3" max="3" width="24.00390625" style="55" customWidth="1"/>
    <col min="4" max="4" width="21.28125" style="55" customWidth="1"/>
    <col min="5" max="5" width="21.57421875" style="55" customWidth="1"/>
    <col min="6" max="6" width="16.7109375" style="45" customWidth="1"/>
    <col min="7" max="7" width="22.8515625" style="45" customWidth="1"/>
    <col min="8" max="9" width="16.7109375" style="45" customWidth="1"/>
    <col min="10" max="16384" width="9.140625" style="45" customWidth="1"/>
  </cols>
  <sheetData>
    <row r="1" spans="1:5" ht="15.75">
      <c r="A1" s="44"/>
      <c r="B1" s="22"/>
      <c r="C1" s="22"/>
      <c r="D1" s="22"/>
      <c r="E1" s="23" t="s">
        <v>852</v>
      </c>
    </row>
    <row r="2" spans="1:5" ht="15.75">
      <c r="A2" s="44"/>
      <c r="B2" s="188" t="s">
        <v>421</v>
      </c>
      <c r="C2" s="188"/>
      <c r="D2" s="188"/>
      <c r="E2" s="188"/>
    </row>
    <row r="3" spans="1:5" ht="15.75">
      <c r="A3" s="46"/>
      <c r="B3" s="22"/>
      <c r="C3" s="190" t="s">
        <v>720</v>
      </c>
      <c r="D3" s="190"/>
      <c r="E3" s="190"/>
    </row>
    <row r="4" spans="1:9" ht="15.75">
      <c r="A4" s="188" t="s">
        <v>707</v>
      </c>
      <c r="B4" s="188"/>
      <c r="C4" s="188"/>
      <c r="D4" s="188"/>
      <c r="E4" s="188"/>
      <c r="F4" s="22"/>
      <c r="G4" s="22"/>
      <c r="H4" s="22"/>
      <c r="I4" s="22"/>
    </row>
    <row r="5" spans="1:9" ht="15.75">
      <c r="A5" s="188"/>
      <c r="B5" s="188"/>
      <c r="C5" s="188"/>
      <c r="D5" s="188"/>
      <c r="E5" s="188"/>
      <c r="F5" s="22"/>
      <c r="G5" s="22"/>
      <c r="H5" s="22"/>
      <c r="I5" s="22"/>
    </row>
    <row r="6" spans="1:5" ht="11.25" customHeight="1">
      <c r="A6" s="47"/>
      <c r="B6" s="48"/>
      <c r="C6" s="47"/>
      <c r="D6" s="47"/>
      <c r="E6" s="47"/>
    </row>
    <row r="7" spans="1:5" ht="42.75" customHeight="1">
      <c r="A7" s="205" t="s">
        <v>853</v>
      </c>
      <c r="B7" s="205"/>
      <c r="C7" s="205"/>
      <c r="D7" s="205"/>
      <c r="E7" s="205"/>
    </row>
    <row r="8" spans="1:5" ht="15.75">
      <c r="A8" s="49"/>
      <c r="B8" s="50"/>
      <c r="C8" s="51"/>
      <c r="D8" s="49"/>
      <c r="E8" s="51" t="s">
        <v>850</v>
      </c>
    </row>
    <row r="9" spans="1:7" ht="31.5">
      <c r="A9" s="6" t="s">
        <v>854</v>
      </c>
      <c r="B9" s="6" t="s">
        <v>424</v>
      </c>
      <c r="C9" s="11" t="s">
        <v>0</v>
      </c>
      <c r="D9" s="11" t="s">
        <v>418</v>
      </c>
      <c r="E9" s="11" t="s">
        <v>417</v>
      </c>
      <c r="G9" s="58"/>
    </row>
    <row r="10" spans="1:7" ht="15.75">
      <c r="A10" s="6">
        <v>1</v>
      </c>
      <c r="B10" s="6">
        <v>2</v>
      </c>
      <c r="C10" s="11">
        <v>3</v>
      </c>
      <c r="D10" s="11">
        <v>4</v>
      </c>
      <c r="E10" s="11">
        <v>5</v>
      </c>
      <c r="G10" s="58"/>
    </row>
    <row r="11" spans="1:7" s="52" customFormat="1" ht="37.5" customHeight="1">
      <c r="A11" s="206" t="s">
        <v>653</v>
      </c>
      <c r="B11" s="207"/>
      <c r="C11" s="12">
        <f>C12+C13</f>
        <v>1402321131.27</v>
      </c>
      <c r="D11" s="12">
        <f>D12+D13</f>
        <v>1357910282.36</v>
      </c>
      <c r="E11" s="12">
        <f>E12+E13</f>
        <v>1334539264.92</v>
      </c>
      <c r="G11" s="59"/>
    </row>
    <row r="12" spans="1:7" ht="31.5" outlineLevel="1">
      <c r="A12" s="7" t="s">
        <v>715</v>
      </c>
      <c r="B12" s="9" t="s">
        <v>716</v>
      </c>
      <c r="C12" s="13">
        <f>'Приложение_7 '!G644+'Приложение_7 '!G689+'Приложение_7 '!G724+'Приложение_7 '!G778+'Приложение_7 '!G808+'Приложение_7 '!G823+'Приложение_7 '!G860+'Приложение_7 '!G886</f>
        <v>1401283717.54</v>
      </c>
      <c r="D12" s="13">
        <v>1357910282.36</v>
      </c>
      <c r="E12" s="13">
        <v>1334539264.92</v>
      </c>
      <c r="G12" s="58"/>
    </row>
    <row r="13" spans="1:7" ht="35.25" customHeight="1" outlineLevel="1">
      <c r="A13" s="7" t="s">
        <v>711</v>
      </c>
      <c r="B13" s="9" t="s">
        <v>712</v>
      </c>
      <c r="C13" s="13">
        <f>'Приложение_7 '!G572</f>
        <v>1037413.73</v>
      </c>
      <c r="D13" s="13">
        <v>0</v>
      </c>
      <c r="E13" s="13">
        <v>0</v>
      </c>
      <c r="G13" s="58"/>
    </row>
    <row r="14" spans="1:7" s="52" customFormat="1" ht="52.5" customHeight="1">
      <c r="A14" s="206" t="s">
        <v>615</v>
      </c>
      <c r="B14" s="207"/>
      <c r="C14" s="12">
        <f>C15+C16</f>
        <v>928720.79</v>
      </c>
      <c r="D14" s="12">
        <f>D15+D16</f>
        <v>318944</v>
      </c>
      <c r="E14" s="12">
        <f>E15+E16</f>
        <v>318944</v>
      </c>
      <c r="G14" s="59"/>
    </row>
    <row r="15" spans="1:9" ht="56.25" customHeight="1" outlineLevel="1">
      <c r="A15" s="7" t="s">
        <v>710</v>
      </c>
      <c r="B15" s="9" t="s">
        <v>728</v>
      </c>
      <c r="C15" s="13">
        <f>'Приложение_7 '!G99</f>
        <v>318944</v>
      </c>
      <c r="D15" s="13">
        <v>318944</v>
      </c>
      <c r="E15" s="13">
        <v>318944</v>
      </c>
      <c r="G15" s="58"/>
      <c r="I15" s="58"/>
    </row>
    <row r="16" spans="1:7" ht="40.5" customHeight="1" outlineLevel="1">
      <c r="A16" s="7" t="s">
        <v>717</v>
      </c>
      <c r="B16" s="9" t="s">
        <v>806</v>
      </c>
      <c r="C16" s="13">
        <f>'Приложение_7 '!G991</f>
        <v>609776.79</v>
      </c>
      <c r="D16" s="13">
        <v>0</v>
      </c>
      <c r="E16" s="13">
        <v>0</v>
      </c>
      <c r="G16" s="58"/>
    </row>
    <row r="17" spans="1:7" s="52" customFormat="1" ht="55.5" customHeight="1">
      <c r="A17" s="206" t="s">
        <v>658</v>
      </c>
      <c r="B17" s="207"/>
      <c r="C17" s="12">
        <f>C18</f>
        <v>21304227.52</v>
      </c>
      <c r="D17" s="12">
        <f>D18</f>
        <v>21335488</v>
      </c>
      <c r="E17" s="12">
        <f>E18</f>
        <v>21470627</v>
      </c>
      <c r="G17" s="59"/>
    </row>
    <row r="18" spans="1:5" ht="31.5" outlineLevel="1">
      <c r="A18" s="7" t="s">
        <v>717</v>
      </c>
      <c r="B18" s="9" t="s">
        <v>806</v>
      </c>
      <c r="C18" s="13">
        <f>'Приложение_7 '!G957+'Приложение_7 '!G1086</f>
        <v>21304227.52</v>
      </c>
      <c r="D18" s="13">
        <v>21335488</v>
      </c>
      <c r="E18" s="13">
        <v>21470627</v>
      </c>
    </row>
    <row r="19" spans="1:7" s="52" customFormat="1" ht="51.75" customHeight="1">
      <c r="A19" s="206" t="s">
        <v>657</v>
      </c>
      <c r="B19" s="207"/>
      <c r="C19" s="12">
        <f>C20</f>
        <v>279353391.51</v>
      </c>
      <c r="D19" s="12">
        <f>D20</f>
        <v>246629236.99</v>
      </c>
      <c r="E19" s="12">
        <f>E20</f>
        <v>231732914.91</v>
      </c>
      <c r="G19" s="59"/>
    </row>
    <row r="20" spans="1:7" ht="31.5" outlineLevel="1">
      <c r="A20" s="7" t="s">
        <v>717</v>
      </c>
      <c r="B20" s="9" t="s">
        <v>806</v>
      </c>
      <c r="C20" s="13">
        <f>'Приложение_7 '!G932+'Приложение_7 '!G997+'Приложение_7 '!G1071</f>
        <v>279353391.51</v>
      </c>
      <c r="D20" s="13">
        <v>246629236.99</v>
      </c>
      <c r="E20" s="13">
        <v>231732914.91</v>
      </c>
      <c r="G20" s="59"/>
    </row>
    <row r="21" spans="1:7" s="52" customFormat="1" ht="53.25" customHeight="1">
      <c r="A21" s="206" t="s">
        <v>656</v>
      </c>
      <c r="B21" s="207" t="s">
        <v>851</v>
      </c>
      <c r="C21" s="12">
        <f>C22+C23</f>
        <v>185168270.21</v>
      </c>
      <c r="D21" s="12">
        <f>D22+D23</f>
        <v>103846599.23</v>
      </c>
      <c r="E21" s="12">
        <f>E22+E23</f>
        <v>94995676.08</v>
      </c>
      <c r="G21" s="59"/>
    </row>
    <row r="22" spans="1:7" ht="59.25" customHeight="1" outlineLevel="1">
      <c r="A22" s="7" t="s">
        <v>710</v>
      </c>
      <c r="B22" s="9" t="s">
        <v>728</v>
      </c>
      <c r="C22" s="13">
        <f>'Приложение_7 '!G237</f>
        <v>23557941.080000002</v>
      </c>
      <c r="D22" s="13">
        <v>19931366.8</v>
      </c>
      <c r="E22" s="13">
        <v>19931366.8</v>
      </c>
      <c r="G22" s="60"/>
    </row>
    <row r="23" spans="1:7" ht="31.5" outlineLevel="1">
      <c r="A23" s="7" t="s">
        <v>711</v>
      </c>
      <c r="B23" s="9" t="s">
        <v>712</v>
      </c>
      <c r="C23" s="13">
        <f>'Приложение_7 '!G387+'Приложение_7 '!G463+'Приложение_7 '!G487+'Приложение_7 '!G509+'Приложение_7 '!G546</f>
        <v>161610329.13</v>
      </c>
      <c r="D23" s="13">
        <v>83915232.43</v>
      </c>
      <c r="E23" s="13">
        <v>75064309.28</v>
      </c>
      <c r="G23" s="60"/>
    </row>
    <row r="24" spans="1:7" s="52" customFormat="1" ht="49.5" customHeight="1">
      <c r="A24" s="206" t="s">
        <v>654</v>
      </c>
      <c r="B24" s="207"/>
      <c r="C24" s="12">
        <f>C25+C26</f>
        <v>44937652.61</v>
      </c>
      <c r="D24" s="12">
        <f>D25+D26</f>
        <v>37836658.53</v>
      </c>
      <c r="E24" s="12">
        <f>E25+E26</f>
        <v>37834471.2</v>
      </c>
      <c r="G24" s="59"/>
    </row>
    <row r="25" spans="1:7" ht="47.25" outlineLevel="1">
      <c r="A25" s="7" t="s">
        <v>710</v>
      </c>
      <c r="B25" s="9" t="s">
        <v>728</v>
      </c>
      <c r="C25" s="13">
        <f>'Приложение_7 '!G103+'Приложение_7 '!G205</f>
        <v>43185041.68</v>
      </c>
      <c r="D25" s="13">
        <v>37549658.53</v>
      </c>
      <c r="E25" s="13">
        <v>37547471.2</v>
      </c>
      <c r="G25" s="60"/>
    </row>
    <row r="26" spans="1:7" ht="31.5" outlineLevel="1">
      <c r="A26" s="7" t="s">
        <v>711</v>
      </c>
      <c r="B26" s="9" t="s">
        <v>712</v>
      </c>
      <c r="C26" s="13">
        <f>'Приложение_7 '!G324+'Приложение_7 '!G395</f>
        <v>1752610.93</v>
      </c>
      <c r="D26" s="13">
        <v>287000</v>
      </c>
      <c r="E26" s="13">
        <v>287000</v>
      </c>
      <c r="G26" s="60"/>
    </row>
    <row r="27" spans="1:7" s="52" customFormat="1" ht="56.25" customHeight="1">
      <c r="A27" s="206" t="s">
        <v>629</v>
      </c>
      <c r="B27" s="207"/>
      <c r="C27" s="12">
        <f>C28</f>
        <v>126029731.71000001</v>
      </c>
      <c r="D27" s="12">
        <f>D28</f>
        <v>97080043.34</v>
      </c>
      <c r="E27" s="12">
        <f>E28</f>
        <v>97086677.25</v>
      </c>
      <c r="G27" s="59"/>
    </row>
    <row r="28" spans="1:7" ht="31.5" outlineLevel="1">
      <c r="A28" s="7" t="s">
        <v>711</v>
      </c>
      <c r="B28" s="9" t="s">
        <v>712</v>
      </c>
      <c r="C28" s="13">
        <f>'Приложение_7 '!G403</f>
        <v>126029731.71000001</v>
      </c>
      <c r="D28" s="13">
        <v>97080043.34</v>
      </c>
      <c r="E28" s="13">
        <v>97086677.25</v>
      </c>
      <c r="G28" s="59"/>
    </row>
    <row r="29" spans="1:7" ht="42" customHeight="1" outlineLevel="1">
      <c r="A29" s="208" t="s">
        <v>936</v>
      </c>
      <c r="B29" s="209"/>
      <c r="C29" s="12">
        <f>C30</f>
        <v>199885.74</v>
      </c>
      <c r="D29" s="12">
        <f>D30</f>
        <v>0</v>
      </c>
      <c r="E29" s="12">
        <f>E30</f>
        <v>0</v>
      </c>
      <c r="G29" s="59"/>
    </row>
    <row r="30" spans="1:7" ht="31.5" outlineLevel="1">
      <c r="A30" s="7" t="s">
        <v>711</v>
      </c>
      <c r="B30" s="9" t="s">
        <v>712</v>
      </c>
      <c r="C30" s="13">
        <f>Приложение_8!F631</f>
        <v>199885.74</v>
      </c>
      <c r="D30" s="13">
        <v>0</v>
      </c>
      <c r="E30" s="13">
        <v>0</v>
      </c>
      <c r="G30" s="59"/>
    </row>
    <row r="31" spans="1:7" s="52" customFormat="1" ht="55.5" customHeight="1">
      <c r="A31" s="206" t="s">
        <v>618</v>
      </c>
      <c r="B31" s="207"/>
      <c r="C31" s="12">
        <f>C32+C33</f>
        <v>3893480</v>
      </c>
      <c r="D31" s="12">
        <f>D32+D33</f>
        <v>906429.16</v>
      </c>
      <c r="E31" s="12">
        <f>E32+E33</f>
        <v>895360.51</v>
      </c>
      <c r="G31" s="59"/>
    </row>
    <row r="32" spans="1:7" ht="56.25" customHeight="1" outlineLevel="1">
      <c r="A32" s="7" t="s">
        <v>710</v>
      </c>
      <c r="B32" s="9" t="s">
        <v>728</v>
      </c>
      <c r="C32" s="13">
        <f>'Приложение_7 '!G114</f>
        <v>385000</v>
      </c>
      <c r="D32" s="13">
        <v>219949.16</v>
      </c>
      <c r="E32" s="13">
        <v>208880.51</v>
      </c>
      <c r="G32" s="58"/>
    </row>
    <row r="33" spans="1:7" ht="31.5" outlineLevel="1">
      <c r="A33" s="7" t="s">
        <v>711</v>
      </c>
      <c r="B33" s="9" t="s">
        <v>712</v>
      </c>
      <c r="C33" s="13">
        <f>'Приложение_7 '!G476</f>
        <v>3508480</v>
      </c>
      <c r="D33" s="13">
        <v>686480</v>
      </c>
      <c r="E33" s="13">
        <v>686480</v>
      </c>
      <c r="G33" s="58"/>
    </row>
    <row r="34" spans="1:7" s="52" customFormat="1" ht="52.5" customHeight="1">
      <c r="A34" s="206" t="s">
        <v>619</v>
      </c>
      <c r="B34" s="207"/>
      <c r="C34" s="12">
        <f>C35+C36</f>
        <v>150500</v>
      </c>
      <c r="D34" s="12">
        <f>D35+D36</f>
        <v>198000</v>
      </c>
      <c r="E34" s="12">
        <f>E35+E36</f>
        <v>198000</v>
      </c>
      <c r="G34" s="59"/>
    </row>
    <row r="35" spans="1:7" ht="54.75" customHeight="1" outlineLevel="1">
      <c r="A35" s="7" t="s">
        <v>710</v>
      </c>
      <c r="B35" s="9" t="s">
        <v>728</v>
      </c>
      <c r="C35" s="13">
        <f>'Приложение_7 '!G118</f>
        <v>0</v>
      </c>
      <c r="D35" s="13">
        <v>47500</v>
      </c>
      <c r="E35" s="13">
        <v>47500</v>
      </c>
      <c r="G35" s="58"/>
    </row>
    <row r="36" spans="1:7" ht="39.75" customHeight="1" outlineLevel="1">
      <c r="A36" s="7" t="s">
        <v>711</v>
      </c>
      <c r="B36" s="9" t="s">
        <v>712</v>
      </c>
      <c r="C36" s="13">
        <f>'Приложение_7 '!G333</f>
        <v>150500</v>
      </c>
      <c r="D36" s="13">
        <v>150500</v>
      </c>
      <c r="E36" s="13">
        <v>150500</v>
      </c>
      <c r="G36" s="58"/>
    </row>
    <row r="37" spans="1:7" s="52" customFormat="1" ht="38.25" customHeight="1">
      <c r="A37" s="206" t="s">
        <v>655</v>
      </c>
      <c r="B37" s="207"/>
      <c r="C37" s="12">
        <f>C38+C39+C40+C41+C42+C43+C44</f>
        <v>47672082.13</v>
      </c>
      <c r="D37" s="12">
        <f>D38+D39+D40+D41+D42+D43+D44</f>
        <v>47207034.669999994</v>
      </c>
      <c r="E37" s="12">
        <f>E38+E39+E40+E41+E42+E43+E44</f>
        <v>47156688.28</v>
      </c>
      <c r="G37" s="59"/>
    </row>
    <row r="38" spans="1:7" ht="15.75" outlineLevel="1">
      <c r="A38" s="7" t="s">
        <v>708</v>
      </c>
      <c r="B38" s="9" t="s">
        <v>709</v>
      </c>
      <c r="C38" s="13">
        <f>'Приложение_7 '!G52</f>
        <v>194356.49</v>
      </c>
      <c r="D38" s="13">
        <v>412373</v>
      </c>
      <c r="E38" s="13">
        <v>254373</v>
      </c>
      <c r="G38" s="58"/>
    </row>
    <row r="39" spans="1:7" ht="53.25" customHeight="1" outlineLevel="1">
      <c r="A39" s="7" t="s">
        <v>710</v>
      </c>
      <c r="B39" s="9" t="s">
        <v>728</v>
      </c>
      <c r="C39" s="13">
        <f>'Приложение_7 '!G122+'Приложение_7 '!G230+'Приложение_7 '!G250+'Приложение_7 '!G293</f>
        <v>36440026.910000004</v>
      </c>
      <c r="D39" s="13">
        <v>35921177.55</v>
      </c>
      <c r="E39" s="13">
        <v>36034261.99</v>
      </c>
      <c r="G39" s="58"/>
    </row>
    <row r="40" spans="1:7" ht="37.5" customHeight="1" outlineLevel="1">
      <c r="A40" s="7" t="s">
        <v>711</v>
      </c>
      <c r="B40" s="9" t="s">
        <v>712</v>
      </c>
      <c r="C40" s="13">
        <f>'Приложение_7 '!G340+'Приложение_7 '!G428+'Приложение_7 '!G556</f>
        <v>1961301.44</v>
      </c>
      <c r="D40" s="13">
        <v>2148363.93</v>
      </c>
      <c r="E40" s="13">
        <v>2142933.1</v>
      </c>
      <c r="G40" s="58"/>
    </row>
    <row r="41" spans="1:7" ht="31.5" outlineLevel="1">
      <c r="A41" s="7" t="s">
        <v>713</v>
      </c>
      <c r="B41" s="9" t="s">
        <v>714</v>
      </c>
      <c r="C41" s="13">
        <f>'Приложение_7 '!G610</f>
        <v>924888.39</v>
      </c>
      <c r="D41" s="13">
        <v>768183.39</v>
      </c>
      <c r="E41" s="13">
        <v>768183.39</v>
      </c>
      <c r="G41" s="58"/>
    </row>
    <row r="42" spans="1:7" ht="31.5" outlineLevel="1">
      <c r="A42" s="7" t="s">
        <v>715</v>
      </c>
      <c r="B42" s="9" t="s">
        <v>716</v>
      </c>
      <c r="C42" s="13">
        <f>'Приложение_7 '!G678+'Приложение_7 '!G718+'Приложение_7 '!G772+'Приложение_7 '!G802+'Приложение_7 '!G853</f>
        <v>6200130.07</v>
      </c>
      <c r="D42" s="13">
        <v>6005557.97</v>
      </c>
      <c r="E42" s="13">
        <v>6005557.97</v>
      </c>
      <c r="G42" s="58"/>
    </row>
    <row r="43" spans="1:7" ht="37.5" customHeight="1" outlineLevel="1">
      <c r="A43" s="7" t="s">
        <v>717</v>
      </c>
      <c r="B43" s="9" t="s">
        <v>806</v>
      </c>
      <c r="C43" s="13">
        <f>'Приложение_7 '!G925+'Приложение_7 '!G951+'Приложение_7 '!G984+'Приложение_7 '!G1064</f>
        <v>1794832.33</v>
      </c>
      <c r="D43" s="13">
        <v>1794832.33</v>
      </c>
      <c r="E43" s="13">
        <v>1794832.33</v>
      </c>
      <c r="G43" s="58"/>
    </row>
    <row r="44" spans="1:7" ht="47.25" outlineLevel="1">
      <c r="A44" s="7" t="s">
        <v>718</v>
      </c>
      <c r="B44" s="9" t="s">
        <v>828</v>
      </c>
      <c r="C44" s="13">
        <f>'Приложение_7 '!G1118</f>
        <v>156546.5</v>
      </c>
      <c r="D44" s="13">
        <v>156546.5</v>
      </c>
      <c r="E44" s="13">
        <v>156546.5</v>
      </c>
      <c r="G44" s="58"/>
    </row>
    <row r="45" spans="1:7" s="52" customFormat="1" ht="64.5" customHeight="1">
      <c r="A45" s="206" t="s">
        <v>486</v>
      </c>
      <c r="B45" s="207"/>
      <c r="C45" s="12">
        <f>C46</f>
        <v>22906865.130000003</v>
      </c>
      <c r="D45" s="12">
        <f>D46</f>
        <v>24339964.12</v>
      </c>
      <c r="E45" s="12">
        <f>E46</f>
        <v>24330167.68</v>
      </c>
      <c r="G45" s="59"/>
    </row>
    <row r="46" spans="1:7" ht="31.5" outlineLevel="1">
      <c r="A46" s="7" t="s">
        <v>713</v>
      </c>
      <c r="B46" s="9" t="s">
        <v>714</v>
      </c>
      <c r="C46" s="13">
        <f>'Приложение_7 '!G583+'Приложение_7 '!G636+'Приложение_7 '!G619</f>
        <v>22906865.130000003</v>
      </c>
      <c r="D46" s="13">
        <v>24339964.12</v>
      </c>
      <c r="E46" s="13">
        <v>24330167.68</v>
      </c>
      <c r="G46" s="58"/>
    </row>
    <row r="47" spans="1:7" s="52" customFormat="1" ht="53.25" customHeight="1">
      <c r="A47" s="206" t="s">
        <v>652</v>
      </c>
      <c r="B47" s="207"/>
      <c r="C47" s="12">
        <f>C48+C49+C50+C51+C52+C53+C54</f>
        <v>152615211.17</v>
      </c>
      <c r="D47" s="12">
        <f>D48+D49+D50+D51+D52+D53+D54</f>
        <v>152108868.65</v>
      </c>
      <c r="E47" s="12">
        <f>E48+E49+E50+E51+E52+E53+E54</f>
        <v>153254962.02</v>
      </c>
      <c r="G47" s="59"/>
    </row>
    <row r="48" spans="1:7" ht="15.75" outlineLevel="1">
      <c r="A48" s="7" t="s">
        <v>708</v>
      </c>
      <c r="B48" s="9" t="s">
        <v>709</v>
      </c>
      <c r="C48" s="13">
        <f>'Приложение_7 '!G15+'Приложение_7 '!G33+'Приложение_7 '!G60</f>
        <v>216787</v>
      </c>
      <c r="D48" s="13">
        <v>378113.49</v>
      </c>
      <c r="E48" s="13">
        <v>378113.49</v>
      </c>
      <c r="G48" s="58"/>
    </row>
    <row r="49" spans="1:7" ht="55.5" customHeight="1" outlineLevel="1">
      <c r="A49" s="7" t="s">
        <v>710</v>
      </c>
      <c r="B49" s="9" t="s">
        <v>728</v>
      </c>
      <c r="C49" s="13">
        <f>'Приложение_7 '!G68+'Приложение_7 '!G150+'Приложение_7 '!G198+'Приложение_7 '!G269+'Приложение_7 '!G281</f>
        <v>77018125.47999999</v>
      </c>
      <c r="D49" s="13">
        <v>77070786.06</v>
      </c>
      <c r="E49" s="13">
        <v>77582287.76</v>
      </c>
      <c r="G49" s="58"/>
    </row>
    <row r="50" spans="1:7" ht="40.5" customHeight="1" outlineLevel="1">
      <c r="A50" s="7" t="s">
        <v>711</v>
      </c>
      <c r="B50" s="9" t="s">
        <v>712</v>
      </c>
      <c r="C50" s="13">
        <f>'Приложение_7 '!G301+'Приложение_7 '!G348+'Приложение_7 '!G433</f>
        <v>66879044.78</v>
      </c>
      <c r="D50" s="13">
        <v>66077175.19</v>
      </c>
      <c r="E50" s="13">
        <v>66711766.86</v>
      </c>
      <c r="G50" s="58"/>
    </row>
    <row r="51" spans="1:7" ht="31.5" outlineLevel="1">
      <c r="A51" s="7" t="s">
        <v>713</v>
      </c>
      <c r="B51" s="9" t="s">
        <v>714</v>
      </c>
      <c r="C51" s="13">
        <f>'Приложение_7 '!G593+'Приложение_7 '!G625</f>
        <v>267405</v>
      </c>
      <c r="D51" s="13">
        <v>348945</v>
      </c>
      <c r="E51" s="13">
        <v>348945</v>
      </c>
      <c r="G51" s="58"/>
    </row>
    <row r="52" spans="1:7" ht="31.5" outlineLevel="1">
      <c r="A52" s="7" t="s">
        <v>715</v>
      </c>
      <c r="B52" s="9" t="s">
        <v>716</v>
      </c>
      <c r="C52" s="13">
        <f>'Приложение_7 '!G668</f>
        <v>165338</v>
      </c>
      <c r="D52" s="13">
        <v>165338</v>
      </c>
      <c r="E52" s="13">
        <v>165338</v>
      </c>
      <c r="G52" s="58"/>
    </row>
    <row r="53" spans="1:7" ht="36" customHeight="1" outlineLevel="1">
      <c r="A53" s="7" t="s">
        <v>717</v>
      </c>
      <c r="B53" s="9" t="s">
        <v>806</v>
      </c>
      <c r="C53" s="13">
        <f>'Приложение_7 '!G909</f>
        <v>7994996.91</v>
      </c>
      <c r="D53" s="13">
        <v>7994996.91</v>
      </c>
      <c r="E53" s="13">
        <v>7994996.91</v>
      </c>
      <c r="G53" s="58"/>
    </row>
    <row r="54" spans="1:7" ht="47.25" outlineLevel="1">
      <c r="A54" s="7" t="s">
        <v>718</v>
      </c>
      <c r="B54" s="9" t="s">
        <v>828</v>
      </c>
      <c r="C54" s="13">
        <f>'Приложение_7 '!G1099</f>
        <v>73514</v>
      </c>
      <c r="D54" s="13">
        <v>73514</v>
      </c>
      <c r="E54" s="13">
        <v>73514</v>
      </c>
      <c r="G54" s="58"/>
    </row>
    <row r="55" spans="1:7" ht="24.75" customHeight="1">
      <c r="A55" s="210" t="s">
        <v>414</v>
      </c>
      <c r="B55" s="211"/>
      <c r="C55" s="53">
        <f>C11+C14+C17+C19+C21+C24+C27+C31+C34+C37+C45+C47+C29</f>
        <v>2287481149.79</v>
      </c>
      <c r="D55" s="53">
        <f>D11+D14+D17+D19+D21+D24+D27+D31+D34+D37+D45+D47+D29</f>
        <v>2089717549.05</v>
      </c>
      <c r="E55" s="53">
        <f>E11+E14+E17+E19+E21+E24+E27+E31+E34+E37+E45+E47+E29</f>
        <v>2043813753.8500001</v>
      </c>
      <c r="G55" s="58"/>
    </row>
    <row r="56" spans="1:5" ht="12.75" customHeight="1">
      <c r="A56" s="8"/>
      <c r="B56" s="8"/>
      <c r="C56" s="14"/>
      <c r="D56" s="14"/>
      <c r="E56" s="14"/>
    </row>
    <row r="57" spans="2:5" ht="15" customHeight="1" hidden="1">
      <c r="B57" s="212"/>
      <c r="C57" s="213"/>
      <c r="D57" s="213"/>
      <c r="E57" s="213"/>
    </row>
    <row r="58" spans="3:5" ht="15.75" hidden="1">
      <c r="C58" s="56" t="e">
        <f>#REF!-#REF!</f>
        <v>#REF!</v>
      </c>
      <c r="D58" s="56" t="e">
        <f>#REF!-#REF!</f>
        <v>#REF!</v>
      </c>
      <c r="E58" s="56" t="e">
        <f>#REF!-#REF!</f>
        <v>#REF!</v>
      </c>
    </row>
    <row r="59" spans="3:5" ht="15.75" hidden="1">
      <c r="C59" s="56" t="e">
        <f>C55-C58</f>
        <v>#REF!</v>
      </c>
      <c r="D59" s="56" t="e">
        <f>D55-D58</f>
        <v>#REF!</v>
      </c>
      <c r="E59" s="56" t="e">
        <f>E55-E58</f>
        <v>#REF!</v>
      </c>
    </row>
    <row r="60" ht="15.75" hidden="1"/>
    <row r="61" spans="3:5" ht="15.75" hidden="1">
      <c r="C61" s="56">
        <f>Приложение_8!F1071-Приложение_8!F1011-C55</f>
        <v>0</v>
      </c>
      <c r="D61" s="56" t="e">
        <f>#REF!-#REF!-D55</f>
        <v>#REF!</v>
      </c>
      <c r="E61" s="56" t="e">
        <f>#REF!-#REF!-E55</f>
        <v>#REF!</v>
      </c>
    </row>
    <row r="62" ht="15.75" hidden="1"/>
    <row r="63" ht="15.75" hidden="1"/>
    <row r="64" spans="3:5" ht="15.75">
      <c r="C64" s="56">
        <f>Приложение_8!F1071-Приложение_8!F1011</f>
        <v>2287481149.7900004</v>
      </c>
      <c r="D64" s="56"/>
      <c r="E64" s="56"/>
    </row>
    <row r="65" spans="3:5" ht="15.75">
      <c r="C65" s="56">
        <f>C55-C64</f>
        <v>0</v>
      </c>
      <c r="D65" s="56"/>
      <c r="E65" s="56"/>
    </row>
    <row r="66" spans="3:5" ht="15.75">
      <c r="C66" s="56"/>
      <c r="D66" s="56"/>
      <c r="E66" s="56"/>
    </row>
  </sheetData>
  <sheetProtection/>
  <mergeCells count="20">
    <mergeCell ref="A47:B47"/>
    <mergeCell ref="A55:B55"/>
    <mergeCell ref="B57:E57"/>
    <mergeCell ref="A27:B27"/>
    <mergeCell ref="A31:B31"/>
    <mergeCell ref="A34:B34"/>
    <mergeCell ref="A24:B24"/>
    <mergeCell ref="A19:B19"/>
    <mergeCell ref="A29:B29"/>
    <mergeCell ref="A21:B21"/>
    <mergeCell ref="A37:B37"/>
    <mergeCell ref="A45:B45"/>
    <mergeCell ref="B2:E2"/>
    <mergeCell ref="C3:E3"/>
    <mergeCell ref="A7:E7"/>
    <mergeCell ref="A11:B11"/>
    <mergeCell ref="A14:B14"/>
    <mergeCell ref="A17:B17"/>
    <mergeCell ref="A4:E4"/>
    <mergeCell ref="A5:E5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68" r:id="rId1"/>
  <headerFooter>
    <oddFooter>&amp;CСтраница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Спирина Ольга Станиславовна</dc:creator>
  <cp:keywords/>
  <dc:description/>
  <cp:lastModifiedBy>Полянина Александра Александровна</cp:lastModifiedBy>
  <cp:lastPrinted>2017-11-07T06:02:06Z</cp:lastPrinted>
  <dcterms:created xsi:type="dcterms:W3CDTF">2017-02-16T06:47:28Z</dcterms:created>
  <dcterms:modified xsi:type="dcterms:W3CDTF">2017-11-10T11:00:35Z</dcterms:modified>
  <cp:category/>
  <cp:version/>
  <cp:contentType/>
  <cp:contentStatus/>
</cp:coreProperties>
</file>